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F:\Peer-to-Peer Finance Association\"/>
    </mc:Choice>
  </mc:AlternateContent>
  <xr:revisionPtr revIDLastSave="0" documentId="8_{B31C8AC7-6439-4C4E-AA52-E424C14B3B6C}" xr6:coauthVersionLast="44" xr6:coauthVersionMax="44" xr10:uidLastSave="{00000000-0000-0000-0000-000000000000}"/>
  <bookViews>
    <workbookView xWindow="-120" yWindow="-120" windowWidth="20730" windowHeight="11160" tabRatio="500" xr2:uid="{00000000-000D-0000-FFFF-FFFF00000000}"/>
  </bookViews>
  <sheets>
    <sheet name="platforms" sheetId="1" r:id="rId1"/>
  </sheets>
  <definedNames>
    <definedName name="_xlnm.Print_Area" localSheetId="0">platforms!$A$1:$H$300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320" i="1" l="1"/>
  <c r="V308" i="1"/>
  <c r="V295" i="1"/>
  <c r="V282" i="1"/>
  <c r="V269" i="1"/>
  <c r="V256" i="1"/>
  <c r="V243" i="1"/>
  <c r="V230" i="1"/>
  <c r="V217" i="1"/>
  <c r="V204" i="1"/>
  <c r="V191" i="1"/>
  <c r="V178" i="1"/>
  <c r="V165" i="1"/>
  <c r="V152" i="1"/>
  <c r="V139" i="1"/>
  <c r="V126" i="1"/>
  <c r="V112" i="1"/>
  <c r="V99" i="1"/>
  <c r="V87" i="1"/>
  <c r="V75" i="1"/>
  <c r="V62" i="1"/>
  <c r="V49" i="1"/>
  <c r="V37" i="1"/>
  <c r="V26" i="1"/>
  <c r="V14" i="1"/>
  <c r="U320" i="1" l="1"/>
  <c r="U308" i="1"/>
  <c r="U295" i="1"/>
  <c r="U282" i="1"/>
  <c r="U269" i="1"/>
  <c r="U256" i="1"/>
  <c r="U243" i="1"/>
  <c r="U230" i="1"/>
  <c r="U217" i="1"/>
  <c r="U204" i="1"/>
  <c r="U191" i="1"/>
  <c r="U178" i="1"/>
  <c r="U165" i="1"/>
  <c r="U152" i="1"/>
  <c r="U139" i="1"/>
  <c r="U126" i="1"/>
  <c r="U112" i="1"/>
  <c r="U99" i="1"/>
  <c r="U87" i="1"/>
  <c r="U75" i="1"/>
  <c r="U62" i="1"/>
  <c r="U49" i="1"/>
  <c r="U37" i="1"/>
  <c r="U26" i="1"/>
  <c r="U14" i="1"/>
  <c r="S295" i="1" l="1"/>
  <c r="S282" i="1"/>
  <c r="S269" i="1"/>
  <c r="S256" i="1"/>
  <c r="S230" i="1"/>
  <c r="S217" i="1"/>
  <c r="S204" i="1"/>
  <c r="S178" i="1"/>
  <c r="S165" i="1"/>
  <c r="S152" i="1"/>
  <c r="S126" i="1"/>
  <c r="S112" i="1"/>
  <c r="S99" i="1"/>
  <c r="S75" i="1"/>
  <c r="S62" i="1"/>
  <c r="S49" i="1"/>
  <c r="S26" i="1"/>
  <c r="S14" i="1"/>
  <c r="R295" i="1" l="1"/>
  <c r="R282" i="1"/>
  <c r="R269" i="1"/>
  <c r="R256" i="1"/>
  <c r="R230" i="1"/>
  <c r="R217" i="1"/>
  <c r="R204" i="1"/>
  <c r="R178" i="1"/>
  <c r="R165" i="1"/>
  <c r="R152" i="1"/>
  <c r="R126" i="1"/>
  <c r="R112" i="1"/>
  <c r="R99" i="1"/>
  <c r="R75" i="1"/>
  <c r="R62" i="1"/>
  <c r="R49" i="1"/>
  <c r="R26" i="1"/>
  <c r="R14" i="1"/>
  <c r="Q295" i="1" l="1"/>
  <c r="Q282" i="1"/>
  <c r="Q269" i="1"/>
  <c r="Q256" i="1"/>
  <c r="Q230" i="1"/>
  <c r="Q217" i="1"/>
  <c r="Q204" i="1"/>
  <c r="Q178" i="1"/>
  <c r="Q165" i="1"/>
  <c r="Q152" i="1"/>
  <c r="Q126" i="1"/>
  <c r="Q112" i="1"/>
  <c r="Q99" i="1"/>
  <c r="Q75" i="1"/>
  <c r="Q62" i="1"/>
  <c r="Q49" i="1"/>
  <c r="Q26" i="1"/>
  <c r="Q14" i="1"/>
  <c r="P295" i="1" l="1"/>
  <c r="P282" i="1"/>
  <c r="P269" i="1"/>
  <c r="P256" i="1"/>
  <c r="P230" i="1"/>
  <c r="P217" i="1"/>
  <c r="P204" i="1"/>
  <c r="P178" i="1"/>
  <c r="P165" i="1"/>
  <c r="P152" i="1"/>
  <c r="P126" i="1"/>
  <c r="P112" i="1"/>
  <c r="P99" i="1"/>
  <c r="P75" i="1"/>
  <c r="P62" i="1"/>
  <c r="P49" i="1"/>
  <c r="P26" i="1"/>
  <c r="P14" i="1"/>
  <c r="O295" i="1" l="1"/>
  <c r="O282" i="1"/>
  <c r="O269" i="1"/>
  <c r="O256" i="1"/>
  <c r="O230" i="1"/>
  <c r="O217" i="1"/>
  <c r="O204" i="1"/>
  <c r="O178" i="1"/>
  <c r="O165" i="1"/>
  <c r="O152" i="1"/>
  <c r="O126" i="1"/>
  <c r="O112" i="1"/>
  <c r="O99" i="1"/>
  <c r="O75" i="1"/>
  <c r="O62" i="1"/>
  <c r="O49" i="1"/>
  <c r="O26" i="1"/>
  <c r="O14" i="1"/>
  <c r="N295" i="1" l="1"/>
  <c r="N282" i="1"/>
  <c r="N269" i="1"/>
  <c r="N256" i="1"/>
  <c r="N230" i="1"/>
  <c r="N217" i="1"/>
  <c r="N204" i="1"/>
  <c r="N178" i="1"/>
  <c r="N165" i="1"/>
  <c r="N152" i="1"/>
  <c r="N126" i="1"/>
  <c r="N112" i="1"/>
  <c r="N99" i="1"/>
  <c r="N75" i="1"/>
  <c r="N62" i="1"/>
  <c r="N49" i="1"/>
  <c r="N26" i="1"/>
  <c r="N14" i="1"/>
  <c r="M295" i="1" l="1"/>
  <c r="M282" i="1"/>
  <c r="M269" i="1"/>
  <c r="M256" i="1"/>
  <c r="M230" i="1"/>
  <c r="M217" i="1"/>
  <c r="M204" i="1"/>
  <c r="M178" i="1"/>
  <c r="M165" i="1"/>
  <c r="M152" i="1"/>
  <c r="M126" i="1"/>
  <c r="M112" i="1"/>
  <c r="M99" i="1"/>
  <c r="M75" i="1"/>
  <c r="M62" i="1"/>
  <c r="M49" i="1"/>
  <c r="M26" i="1"/>
  <c r="M14" i="1"/>
  <c r="L295" i="1" l="1"/>
  <c r="L282" i="1"/>
  <c r="L269" i="1"/>
  <c r="L256" i="1"/>
  <c r="L217" i="1"/>
  <c r="L204" i="1"/>
  <c r="L165" i="1"/>
  <c r="L152" i="1"/>
  <c r="L112" i="1"/>
  <c r="L99" i="1"/>
  <c r="L62" i="1"/>
  <c r="L49" i="1"/>
  <c r="L14" i="1"/>
  <c r="L230" i="1"/>
  <c r="L178" i="1"/>
  <c r="L126" i="1"/>
  <c r="L75" i="1"/>
  <c r="L26" i="1"/>
  <c r="K295" i="1" l="1"/>
  <c r="K282" i="1"/>
  <c r="K269" i="1"/>
  <c r="K256" i="1"/>
  <c r="K230" i="1"/>
  <c r="K217" i="1"/>
  <c r="K204" i="1"/>
  <c r="K178" i="1"/>
  <c r="K165" i="1"/>
  <c r="K126" i="1"/>
  <c r="K152" i="1"/>
  <c r="K112" i="1"/>
  <c r="K99" i="1"/>
  <c r="K75" i="1"/>
  <c r="K62" i="1"/>
  <c r="K49" i="1"/>
  <c r="K26" i="1"/>
  <c r="K14" i="1"/>
  <c r="J152" i="1" l="1"/>
  <c r="J295" i="1"/>
  <c r="J282" i="1"/>
  <c r="J269" i="1"/>
  <c r="J256" i="1"/>
  <c r="J230" i="1"/>
  <c r="J217" i="1"/>
  <c r="J204" i="1"/>
  <c r="J178" i="1"/>
  <c r="J165" i="1"/>
  <c r="J126" i="1"/>
  <c r="J112" i="1"/>
  <c r="J99" i="1"/>
  <c r="J75" i="1"/>
  <c r="J62" i="1"/>
  <c r="J49" i="1"/>
  <c r="J26" i="1"/>
  <c r="J14" i="1"/>
  <c r="I255" i="1" l="1"/>
  <c r="I253" i="1"/>
  <c r="I228" i="1"/>
  <c r="I226" i="1"/>
  <c r="I225" i="1"/>
  <c r="I216" i="1"/>
  <c r="I215" i="1"/>
  <c r="I214" i="1"/>
  <c r="I213" i="1"/>
  <c r="I212" i="1"/>
  <c r="I203" i="1"/>
  <c r="I201" i="1"/>
  <c r="I176" i="1"/>
  <c r="I174" i="1"/>
  <c r="I173" i="1"/>
  <c r="I164" i="1"/>
  <c r="I163" i="1"/>
  <c r="I162" i="1"/>
  <c r="I161" i="1"/>
  <c r="I160" i="1"/>
  <c r="I151" i="1"/>
  <c r="I149" i="1"/>
  <c r="I122" i="1"/>
  <c r="I121" i="1"/>
  <c r="I111" i="1"/>
  <c r="I109" i="1"/>
  <c r="I108" i="1"/>
  <c r="I107" i="1"/>
  <c r="I98" i="1"/>
  <c r="I96" i="1"/>
  <c r="I73" i="1"/>
  <c r="I71" i="1"/>
  <c r="I70" i="1"/>
  <c r="I61" i="1"/>
  <c r="I60" i="1"/>
  <c r="I59" i="1"/>
  <c r="I58" i="1"/>
  <c r="I57" i="1"/>
  <c r="I48" i="1"/>
  <c r="I46" i="1"/>
  <c r="I22" i="1"/>
  <c r="I21" i="1"/>
  <c r="I13" i="1"/>
  <c r="I11" i="1"/>
  <c r="I10" i="1"/>
  <c r="I9" i="1"/>
  <c r="I269" i="1"/>
  <c r="I282" i="1"/>
  <c r="I295" i="1"/>
  <c r="H22" i="1"/>
  <c r="H10" i="1"/>
  <c r="H255" i="1"/>
  <c r="G255" i="1"/>
  <c r="F255" i="1"/>
  <c r="E255" i="1"/>
  <c r="D255" i="1"/>
  <c r="C255" i="1"/>
  <c r="B255" i="1"/>
  <c r="D228" i="1"/>
  <c r="E228" i="1"/>
  <c r="F228" i="1"/>
  <c r="G228" i="1"/>
  <c r="H228" i="1"/>
  <c r="G226" i="1"/>
  <c r="F226" i="1"/>
  <c r="E226" i="1"/>
  <c r="D226" i="1"/>
  <c r="C226" i="1"/>
  <c r="B226" i="1"/>
  <c r="H225" i="1"/>
  <c r="G225" i="1"/>
  <c r="F225" i="1"/>
  <c r="E225" i="1"/>
  <c r="D225" i="1"/>
  <c r="C225" i="1"/>
  <c r="B225" i="1"/>
  <c r="B216" i="1"/>
  <c r="C216" i="1"/>
  <c r="D216" i="1"/>
  <c r="D215" i="1"/>
  <c r="E216" i="1"/>
  <c r="E215" i="1"/>
  <c r="F216" i="1"/>
  <c r="F215" i="1"/>
  <c r="G216" i="1"/>
  <c r="G215" i="1"/>
  <c r="H216" i="1"/>
  <c r="H215" i="1"/>
  <c r="B213" i="1"/>
  <c r="C213" i="1"/>
  <c r="D213" i="1"/>
  <c r="E213" i="1"/>
  <c r="F213" i="1"/>
  <c r="G213" i="1"/>
  <c r="H212" i="1"/>
  <c r="G212" i="1"/>
  <c r="F212" i="1"/>
  <c r="E212" i="1"/>
  <c r="D212" i="1"/>
  <c r="C212" i="1"/>
  <c r="B212" i="1"/>
  <c r="B203" i="1"/>
  <c r="C203" i="1"/>
  <c r="D203" i="1"/>
  <c r="E203" i="1"/>
  <c r="F203" i="1"/>
  <c r="G203" i="1"/>
  <c r="H203" i="1"/>
  <c r="E176" i="1"/>
  <c r="D176" i="1"/>
  <c r="F176" i="1"/>
  <c r="H174" i="1"/>
  <c r="G174" i="1"/>
  <c r="G176" i="1"/>
  <c r="H176" i="1"/>
  <c r="B173" i="1"/>
  <c r="C173" i="1"/>
  <c r="D173" i="1"/>
  <c r="E173" i="1"/>
  <c r="F173" i="1"/>
  <c r="G173" i="1"/>
  <c r="H173" i="1"/>
  <c r="H164" i="1"/>
  <c r="H163" i="1"/>
  <c r="G164" i="1"/>
  <c r="G163" i="1"/>
  <c r="F164" i="1"/>
  <c r="F163" i="1"/>
  <c r="E164" i="1"/>
  <c r="E163" i="1"/>
  <c r="D164" i="1"/>
  <c r="D163" i="1"/>
  <c r="C164" i="1"/>
  <c r="B164" i="1"/>
  <c r="H161" i="1"/>
  <c r="G161" i="1"/>
  <c r="H160" i="1"/>
  <c r="G160" i="1"/>
  <c r="F160" i="1"/>
  <c r="E160" i="1"/>
  <c r="D160" i="1"/>
  <c r="C160" i="1"/>
  <c r="B160" i="1"/>
  <c r="B151" i="1"/>
  <c r="B152" i="1" s="1"/>
  <c r="C151" i="1"/>
  <c r="D151" i="1"/>
  <c r="D152" i="1" s="1"/>
  <c r="E151" i="1"/>
  <c r="F151" i="1"/>
  <c r="F152" i="1" s="1"/>
  <c r="G151" i="1"/>
  <c r="H151" i="1"/>
  <c r="H152" i="1" s="1"/>
  <c r="B122" i="1"/>
  <c r="C122" i="1"/>
  <c r="D122" i="1"/>
  <c r="E122" i="1"/>
  <c r="F122" i="1"/>
  <c r="G122" i="1"/>
  <c r="H121" i="1"/>
  <c r="G121" i="1"/>
  <c r="F121" i="1"/>
  <c r="E121" i="1"/>
  <c r="D121" i="1"/>
  <c r="C121" i="1"/>
  <c r="B121" i="1"/>
  <c r="B111" i="1"/>
  <c r="C111" i="1"/>
  <c r="D111" i="1"/>
  <c r="E111" i="1"/>
  <c r="F111" i="1"/>
  <c r="G111" i="1"/>
  <c r="H111" i="1"/>
  <c r="E108" i="1"/>
  <c r="F108" i="1"/>
  <c r="G108" i="1"/>
  <c r="H107" i="1"/>
  <c r="G107" i="1"/>
  <c r="F107" i="1"/>
  <c r="E107" i="1"/>
  <c r="D107" i="1"/>
  <c r="D108" i="1"/>
  <c r="C108" i="1"/>
  <c r="B108" i="1"/>
  <c r="C107" i="1"/>
  <c r="B107" i="1"/>
  <c r="B98" i="1"/>
  <c r="C98" i="1"/>
  <c r="D98" i="1"/>
  <c r="E98" i="1"/>
  <c r="F98" i="1"/>
  <c r="G98" i="1"/>
  <c r="H98" i="1"/>
  <c r="B71" i="1"/>
  <c r="C71" i="1"/>
  <c r="D73" i="1"/>
  <c r="D71" i="1"/>
  <c r="E73" i="1"/>
  <c r="E71" i="1"/>
  <c r="F73" i="1"/>
  <c r="F71" i="1"/>
  <c r="G73" i="1"/>
  <c r="G71" i="1"/>
  <c r="H73" i="1"/>
  <c r="H70" i="1"/>
  <c r="G70" i="1"/>
  <c r="F70" i="1"/>
  <c r="E70" i="1"/>
  <c r="D70" i="1"/>
  <c r="C70" i="1"/>
  <c r="B70" i="1"/>
  <c r="B61" i="1"/>
  <c r="B58" i="1"/>
  <c r="C61" i="1"/>
  <c r="C58" i="1"/>
  <c r="D61" i="1"/>
  <c r="D60" i="1"/>
  <c r="D58" i="1"/>
  <c r="E61" i="1"/>
  <c r="E60" i="1"/>
  <c r="E58" i="1"/>
  <c r="F61" i="1"/>
  <c r="F60" i="1"/>
  <c r="F58" i="1"/>
  <c r="G61" i="1"/>
  <c r="G60" i="1"/>
  <c r="G58" i="1"/>
  <c r="H61" i="1"/>
  <c r="H60" i="1"/>
  <c r="H57" i="1"/>
  <c r="G57" i="1"/>
  <c r="F57" i="1"/>
  <c r="E57" i="1"/>
  <c r="D57" i="1"/>
  <c r="C57" i="1"/>
  <c r="B57" i="1"/>
  <c r="H48" i="1"/>
  <c r="G48" i="1"/>
  <c r="F48" i="1"/>
  <c r="E48" i="1"/>
  <c r="D48" i="1"/>
  <c r="C48" i="1"/>
  <c r="B48" i="1"/>
  <c r="C22" i="1"/>
  <c r="B22" i="1"/>
  <c r="D22" i="1"/>
  <c r="E22" i="1"/>
  <c r="F22" i="1"/>
  <c r="G22" i="1"/>
  <c r="H21" i="1"/>
  <c r="G21" i="1"/>
  <c r="F21" i="1"/>
  <c r="E21" i="1"/>
  <c r="D21" i="1"/>
  <c r="C21" i="1"/>
  <c r="B21" i="1"/>
  <c r="H13" i="1"/>
  <c r="G13" i="1"/>
  <c r="F13" i="1"/>
  <c r="E13" i="1"/>
  <c r="D13" i="1"/>
  <c r="C13" i="1"/>
  <c r="B13" i="1"/>
  <c r="G10" i="1"/>
  <c r="F10" i="1"/>
  <c r="E10" i="1"/>
  <c r="D10" i="1"/>
  <c r="C10" i="1"/>
  <c r="B10" i="1"/>
  <c r="H9" i="1"/>
  <c r="G9" i="1"/>
  <c r="F9" i="1"/>
  <c r="E9" i="1"/>
  <c r="D9" i="1"/>
  <c r="C9" i="1"/>
  <c r="B9" i="1"/>
  <c r="C295" i="1"/>
  <c r="D295" i="1"/>
  <c r="E295" i="1"/>
  <c r="F295" i="1"/>
  <c r="G295" i="1"/>
  <c r="H295" i="1"/>
  <c r="B295" i="1"/>
  <c r="C282" i="1"/>
  <c r="D282" i="1"/>
  <c r="E282" i="1"/>
  <c r="F282" i="1"/>
  <c r="G282" i="1"/>
  <c r="H282" i="1"/>
  <c r="B282" i="1"/>
  <c r="I256" i="1" l="1"/>
  <c r="H99" i="1"/>
  <c r="D256" i="1"/>
  <c r="D99" i="1"/>
  <c r="B99" i="1"/>
  <c r="C204" i="1"/>
  <c r="G204" i="1"/>
  <c r="F204" i="1"/>
  <c r="C230" i="1"/>
  <c r="H256" i="1"/>
  <c r="C178" i="1"/>
  <c r="B230" i="1"/>
  <c r="F49" i="1"/>
  <c r="F230" i="1"/>
  <c r="C256" i="1"/>
  <c r="E112" i="1"/>
  <c r="D126" i="1"/>
  <c r="E126" i="1"/>
  <c r="E152" i="1"/>
  <c r="G152" i="1"/>
  <c r="C152" i="1"/>
  <c r="F178" i="1"/>
  <c r="I49" i="1"/>
  <c r="F26" i="1"/>
  <c r="H126" i="1"/>
  <c r="C26" i="1"/>
  <c r="B49" i="1"/>
  <c r="E99" i="1"/>
  <c r="F126" i="1"/>
  <c r="D204" i="1"/>
  <c r="E230" i="1"/>
  <c r="D62" i="1"/>
  <c r="G112" i="1"/>
  <c r="G217" i="1"/>
  <c r="G230" i="1"/>
  <c r="G256" i="1"/>
  <c r="E14" i="1"/>
  <c r="D14" i="1"/>
  <c r="B26" i="1"/>
  <c r="D112" i="1"/>
  <c r="I126" i="1"/>
  <c r="I165" i="1"/>
  <c r="E26" i="1"/>
  <c r="D49" i="1"/>
  <c r="H49" i="1"/>
  <c r="H62" i="1"/>
  <c r="E75" i="1"/>
  <c r="C75" i="1"/>
  <c r="F99" i="1"/>
  <c r="C112" i="1"/>
  <c r="D165" i="1"/>
  <c r="H165" i="1"/>
  <c r="G178" i="1"/>
  <c r="B178" i="1"/>
  <c r="H204" i="1"/>
  <c r="F217" i="1"/>
  <c r="C217" i="1"/>
  <c r="D230" i="1"/>
  <c r="H14" i="1"/>
  <c r="E49" i="1"/>
  <c r="C62" i="1"/>
  <c r="G62" i="1"/>
  <c r="D75" i="1"/>
  <c r="B112" i="1"/>
  <c r="E165" i="1"/>
  <c r="F14" i="1"/>
  <c r="C49" i="1"/>
  <c r="G49" i="1"/>
  <c r="F75" i="1"/>
  <c r="H112" i="1"/>
  <c r="C126" i="1"/>
  <c r="G126" i="1"/>
  <c r="B165" i="1"/>
  <c r="B204" i="1"/>
  <c r="H217" i="1"/>
  <c r="E256" i="1"/>
  <c r="I14" i="1"/>
  <c r="I75" i="1"/>
  <c r="I99" i="1"/>
  <c r="I178" i="1"/>
  <c r="I204" i="1"/>
  <c r="I217" i="1"/>
  <c r="C14" i="1"/>
  <c r="G14" i="1"/>
  <c r="B14" i="1"/>
  <c r="D26" i="1"/>
  <c r="H26" i="1"/>
  <c r="G26" i="1"/>
  <c r="B62" i="1"/>
  <c r="F62" i="1"/>
  <c r="E62" i="1"/>
  <c r="H75" i="1"/>
  <c r="G75" i="1"/>
  <c r="B75" i="1"/>
  <c r="C99" i="1"/>
  <c r="G99" i="1"/>
  <c r="F112" i="1"/>
  <c r="B126" i="1"/>
  <c r="C165" i="1"/>
  <c r="F165" i="1"/>
  <c r="G165" i="1"/>
  <c r="H178" i="1"/>
  <c r="D178" i="1"/>
  <c r="E178" i="1"/>
  <c r="E204" i="1"/>
  <c r="D217" i="1"/>
  <c r="E217" i="1"/>
  <c r="B217" i="1"/>
  <c r="H230" i="1"/>
  <c r="B256" i="1"/>
  <c r="F256" i="1"/>
  <c r="I26" i="1"/>
  <c r="I62" i="1"/>
  <c r="I112" i="1"/>
  <c r="I152" i="1"/>
  <c r="I230" i="1"/>
</calcChain>
</file>

<file path=xl/sharedStrings.xml><?xml version="1.0" encoding="utf-8"?>
<sst xmlns="http://schemas.openxmlformats.org/spreadsheetml/2006/main" count="625" uniqueCount="61">
  <si>
    <t>Funding Circle</t>
  </si>
  <si>
    <t>Landbay</t>
  </si>
  <si>
    <t>LendingWorks</t>
  </si>
  <si>
    <t>Thincats</t>
  </si>
  <si>
    <t>Zopa</t>
  </si>
  <si>
    <t>Total</t>
  </si>
  <si>
    <t>Total (rounded to £m)</t>
  </si>
  <si>
    <t>Q3 2014</t>
  </si>
  <si>
    <t>Q4 2014</t>
  </si>
  <si>
    <t>Q1 2015</t>
  </si>
  <si>
    <t>Q2 2015</t>
  </si>
  <si>
    <t>Q3 2015</t>
  </si>
  <si>
    <t>Q4 2015</t>
  </si>
  <si>
    <t>Q1 2016</t>
  </si>
  <si>
    <t>NLF to businesses (£)</t>
  </si>
  <si>
    <t>NLF to Individuals  (£)</t>
  </si>
  <si>
    <t>Q2 2016</t>
  </si>
  <si>
    <t>Q3 2016</t>
  </si>
  <si>
    <t>Q3, 2016</t>
  </si>
  <si>
    <t>Q4 2016</t>
  </si>
  <si>
    <t>Q4, 2016</t>
  </si>
  <si>
    <t>Q4 2017</t>
  </si>
  <si>
    <t>Q1 2017</t>
  </si>
  <si>
    <t>Folk2Folk</t>
  </si>
  <si>
    <t>Q2 2017</t>
  </si>
  <si>
    <t>Q3 2017</t>
  </si>
  <si>
    <t>Crowdstacker</t>
  </si>
  <si>
    <t>Q1 2018</t>
  </si>
  <si>
    <t>Q2 2018</t>
  </si>
  <si>
    <t>CrowdProperty</t>
  </si>
  <si>
    <t>Q3 2018</t>
  </si>
  <si>
    <t>Q4 2018</t>
  </si>
  <si>
    <t>Q1 2019</t>
  </si>
  <si>
    <t>ThinCats</t>
  </si>
  <si>
    <t xml:space="preserve">Total   </t>
  </si>
  <si>
    <t>NLF to property/real estate (£)</t>
  </si>
  <si>
    <t>Number of Property &amp; Real Estate borrowers</t>
  </si>
  <si>
    <t>Lending Works</t>
  </si>
  <si>
    <t>Number of Consumer borrowers</t>
  </si>
  <si>
    <t>Q2 2019</t>
  </si>
  <si>
    <r>
      <t xml:space="preserve">Total Cumulative lending (£) </t>
    </r>
    <r>
      <rPr>
        <i/>
        <sz val="10"/>
        <color theme="1"/>
        <rFont val="Calisto MT"/>
        <family val="1"/>
      </rPr>
      <t>= Total amount lent to individuals/firms since platform was established at end of period</t>
    </r>
  </si>
  <si>
    <r>
      <t xml:space="preserve">Cumulative business lending (£) </t>
    </r>
    <r>
      <rPr>
        <i/>
        <sz val="10"/>
        <color theme="1"/>
        <rFont val="Calisto MT"/>
        <family val="1"/>
      </rPr>
      <t>= Total amount lent to businesses since platform was established at end of period</t>
    </r>
    <r>
      <rPr>
        <b/>
        <sz val="10"/>
        <color theme="3"/>
        <rFont val="Calisto MT"/>
        <family val="1"/>
      </rPr>
      <t xml:space="preserve"> (includes all non-consumer lending until Q1 2019)</t>
    </r>
  </si>
  <si>
    <r>
      <t xml:space="preserve">Cumulative property/real estate lending (£) </t>
    </r>
    <r>
      <rPr>
        <sz val="10"/>
        <color theme="3"/>
        <rFont val="Calisto MT"/>
        <family val="1"/>
      </rPr>
      <t xml:space="preserve">= </t>
    </r>
    <r>
      <rPr>
        <i/>
        <sz val="10"/>
        <rFont val="Calisto MT"/>
        <family val="1"/>
      </rPr>
      <t>total amount lent to property and real estate since platform was established at end of period (since Q1 2019)</t>
    </r>
  </si>
  <si>
    <r>
      <t xml:space="preserve">Cumulative consumer lending (£) </t>
    </r>
    <r>
      <rPr>
        <i/>
        <sz val="10"/>
        <color theme="1"/>
        <rFont val="Calisto MT"/>
        <family val="1"/>
      </rPr>
      <t>= Total amount lent to individuals since platform was established at end of period</t>
    </r>
  </si>
  <si>
    <r>
      <t>Total Base Stock of loans (£)</t>
    </r>
    <r>
      <rPr>
        <i/>
        <sz val="10"/>
        <color theme="1"/>
        <rFont val="Calisto MT"/>
        <family val="1"/>
      </rPr>
      <t xml:space="preserve"> = Total amount of principal at end of period.</t>
    </r>
  </si>
  <si>
    <r>
      <t>Total Base Stock of business loans (£)</t>
    </r>
    <r>
      <rPr>
        <i/>
        <sz val="10"/>
        <color theme="1"/>
        <rFont val="Calisto MT"/>
        <family val="1"/>
      </rPr>
      <t xml:space="preserve"> = Total amount of principal at end of period.</t>
    </r>
    <r>
      <rPr>
        <b/>
        <sz val="10"/>
        <color theme="3"/>
        <rFont val="Calisto MT"/>
        <family val="1"/>
      </rPr>
      <t xml:space="preserve"> </t>
    </r>
    <r>
      <rPr>
        <i/>
        <sz val="10"/>
        <color theme="3"/>
        <rFont val="Calisto MT"/>
        <family val="1"/>
      </rPr>
      <t>(for all non-consumer lending until Q1 2019)</t>
    </r>
  </si>
  <si>
    <r>
      <t xml:space="preserve">Total Base Stock of property/real estate loans (£) </t>
    </r>
    <r>
      <rPr>
        <sz val="10"/>
        <rFont val="Calisto MT"/>
        <family val="1"/>
      </rPr>
      <t>= Total amount of principal at end of period (from Q1 2019)</t>
    </r>
  </si>
  <si>
    <r>
      <t>Total Base Stock of consumer loans (£)</t>
    </r>
    <r>
      <rPr>
        <i/>
        <sz val="10"/>
        <color theme="1"/>
        <rFont val="Calisto MT"/>
        <family val="1"/>
      </rPr>
      <t xml:space="preserve"> = Total amount of principal at end of period.</t>
    </r>
  </si>
  <si>
    <r>
      <t>Total New Lending (£)</t>
    </r>
    <r>
      <rPr>
        <i/>
        <sz val="10"/>
        <color theme="1"/>
        <rFont val="Calisto MT"/>
        <family val="1"/>
      </rPr>
      <t xml:space="preserve"> = Amount originated in period</t>
    </r>
  </si>
  <si>
    <r>
      <t>Total New Business Lending (£)</t>
    </r>
    <r>
      <rPr>
        <i/>
        <sz val="10"/>
        <color theme="1"/>
        <rFont val="Calisto MT"/>
        <family val="1"/>
      </rPr>
      <t xml:space="preserve"> = Amount originated in period</t>
    </r>
    <r>
      <rPr>
        <b/>
        <sz val="10"/>
        <color theme="3"/>
        <rFont val="Calisto MT"/>
        <family val="1"/>
      </rPr>
      <t xml:space="preserve"> </t>
    </r>
    <r>
      <rPr>
        <sz val="10"/>
        <color theme="3"/>
        <rFont val="Calisto MT"/>
        <family val="1"/>
      </rPr>
      <t>(includes all non-consumer lending before Q1 2019)</t>
    </r>
  </si>
  <si>
    <r>
      <rPr>
        <b/>
        <sz val="10"/>
        <color theme="3"/>
        <rFont val="Calisto MT"/>
        <family val="1"/>
      </rPr>
      <t>Total New Property/Real Estate Lending (£)</t>
    </r>
    <r>
      <rPr>
        <b/>
        <sz val="10"/>
        <color theme="1"/>
        <rFont val="Calisto MT"/>
        <family val="1"/>
      </rPr>
      <t xml:space="preserve"> </t>
    </r>
    <r>
      <rPr>
        <i/>
        <sz val="10"/>
        <color theme="1"/>
        <rFont val="Calisto MT"/>
        <family val="1"/>
      </rPr>
      <t>= Amount originated in period</t>
    </r>
  </si>
  <si>
    <r>
      <t>Total New Consumer Lending (£)</t>
    </r>
    <r>
      <rPr>
        <i/>
        <sz val="10"/>
        <color theme="1"/>
        <rFont val="Calisto MT"/>
        <family val="1"/>
      </rPr>
      <t xml:space="preserve"> = Amount originated in period</t>
    </r>
  </si>
  <si>
    <r>
      <t>Total Capital repaid (£)</t>
    </r>
    <r>
      <rPr>
        <i/>
        <sz val="10"/>
        <color theme="1"/>
        <rFont val="Calisto MT"/>
        <family val="1"/>
      </rPr>
      <t xml:space="preserve"> = Capital repaid in the period</t>
    </r>
  </si>
  <si>
    <r>
      <t>Business Lending Capital repaid (£)</t>
    </r>
    <r>
      <rPr>
        <i/>
        <sz val="10"/>
        <color theme="1"/>
        <rFont val="Calisto MT"/>
        <family val="1"/>
      </rPr>
      <t xml:space="preserve"> = Capital repaid in the period for business loans</t>
    </r>
    <r>
      <rPr>
        <sz val="10"/>
        <color theme="3"/>
        <rFont val="Calisto MT"/>
        <family val="1"/>
      </rPr>
      <t xml:space="preserve"> (data includes all non-consumer lending before Q1 2019)</t>
    </r>
  </si>
  <si>
    <r>
      <rPr>
        <b/>
        <sz val="10"/>
        <color theme="3"/>
        <rFont val="Calisto MT"/>
        <family val="1"/>
      </rPr>
      <t xml:space="preserve">Property/Real Estate Capital repaid (£) </t>
    </r>
    <r>
      <rPr>
        <sz val="10"/>
        <rFont val="Calisto MT"/>
        <family val="1"/>
      </rPr>
      <t xml:space="preserve">= </t>
    </r>
    <r>
      <rPr>
        <i/>
        <sz val="10"/>
        <rFont val="Calisto MT"/>
        <family val="1"/>
      </rPr>
      <t>Capital repaid in the period for property &amp; real estate loans</t>
    </r>
  </si>
  <si>
    <r>
      <t>Consumer Lending Capital repaid (£)</t>
    </r>
    <r>
      <rPr>
        <i/>
        <sz val="10"/>
        <color theme="1"/>
        <rFont val="Calisto MT"/>
        <family val="1"/>
      </rPr>
      <t xml:space="preserve"> = Capital repaid in the period for consumer loans</t>
    </r>
  </si>
  <si>
    <r>
      <t>Net Lending Flow (NLF) (£)</t>
    </r>
    <r>
      <rPr>
        <i/>
        <sz val="10"/>
        <color theme="1"/>
        <rFont val="Calisto MT"/>
        <family val="1"/>
      </rPr>
      <t xml:space="preserve"> = New lending- Capital repaid</t>
    </r>
  </si>
  <si>
    <r>
      <rPr>
        <b/>
        <sz val="10"/>
        <color theme="1"/>
        <rFont val="Calisto MT"/>
        <family val="1"/>
      </rPr>
      <t xml:space="preserve">Number of Lenders </t>
    </r>
    <r>
      <rPr>
        <i/>
        <sz val="10"/>
        <color theme="1"/>
        <rFont val="Calisto MT"/>
        <family val="1"/>
      </rPr>
      <t>= Number of lenders that have more than £1 lent out at end of quarter</t>
    </r>
  </si>
  <si>
    <r>
      <t>Number of Borrowers</t>
    </r>
    <r>
      <rPr>
        <i/>
        <sz val="10"/>
        <color theme="1"/>
        <rFont val="Calisto MT"/>
        <family val="1"/>
      </rPr>
      <t xml:space="preserve"> = Number of borrowers with a loan as at the end of the quarter</t>
    </r>
  </si>
  <si>
    <r>
      <t>Number of Business Borrowers</t>
    </r>
    <r>
      <rPr>
        <i/>
        <sz val="10"/>
        <color theme="1"/>
        <rFont val="Calisto MT"/>
        <family val="1"/>
      </rPr>
      <t xml:space="preserve"> = Number of business borrowers with a loan as at the end of the quarter</t>
    </r>
  </si>
  <si>
    <t>P2PFA Member data file (Q3, 2014 - Q2,2019)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</si>
</sst>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8" formatCode="&quot;£&quot;#,##0.00;[Red]\-&quot;£&quot;#,##0.00"/>
    <numFmt numFmtId="43" formatCode="_-* #,##0.00_-;\-* #,##0.00_-;_-* &quot;-&quot;??_-;_-@_-"/>
    <numFmt numFmtId="164" formatCode="&quot;£&quot;#,##0"/>
  </numFmts>
  <fonts count="1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0"/>
      <color rgb="FF008000"/>
      <name val="Calisto MT"/>
      <family val="1"/>
    </font>
    <font>
      <sz val="10"/>
      <color theme="1"/>
      <name val="Calisto MT"/>
      <family val="1"/>
    </font>
    <font>
      <b/>
      <sz val="10"/>
      <color theme="1"/>
      <name val="Calisto MT"/>
      <family val="1"/>
    </font>
    <font>
      <b/>
      <sz val="10"/>
      <color theme="3"/>
      <name val="Calisto MT"/>
      <family val="1"/>
    </font>
    <font>
      <i/>
      <sz val="10"/>
      <color theme="1"/>
      <name val="Calisto MT"/>
      <family val="1"/>
    </font>
    <font>
      <b/>
      <sz val="10"/>
      <color rgb="FF000000"/>
      <name val="Calisto MT"/>
      <family val="1"/>
    </font>
    <font>
      <sz val="10"/>
      <color theme="3"/>
      <name val="Calisto MT"/>
      <family val="1"/>
    </font>
    <font>
      <i/>
      <sz val="10"/>
      <name val="Calisto MT"/>
      <family val="1"/>
    </font>
    <font>
      <sz val="10"/>
      <name val="Calisto MT"/>
      <family val="1"/>
    </font>
    <font>
      <sz val="10"/>
      <color rgb="FF000000"/>
      <name val="Calisto MT"/>
      <family val="1"/>
    </font>
    <font>
      <i/>
      <sz val="10"/>
      <color theme="3"/>
      <name val="Calisto MT"/>
      <family val="1"/>
    </font>
    <font>
      <b/>
      <sz val="10"/>
      <name val="Calisto MT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477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0" fontId="1" fillId="0" borderId="0"/>
  </cellStyleXfs>
  <cellXfs count="36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8" fontId="8" fillId="0" borderId="0" xfId="0" applyNumberFormat="1" applyFont="1"/>
    <xf numFmtId="6" fontId="8" fillId="0" borderId="0" xfId="0" applyNumberFormat="1" applyFont="1"/>
    <xf numFmtId="6" fontId="8" fillId="0" borderId="0" xfId="0" applyNumberFormat="1" applyFont="1" applyAlignment="1">
      <alignment horizontal="right"/>
    </xf>
    <xf numFmtId="164" fontId="8" fillId="0" borderId="0" xfId="64" applyNumberFormat="1" applyFont="1" applyAlignment="1">
      <alignment horizontal="right" wrapText="1"/>
    </xf>
    <xf numFmtId="164" fontId="8" fillId="0" borderId="0" xfId="0" applyNumberFormat="1" applyFont="1"/>
    <xf numFmtId="3" fontId="8" fillId="0" borderId="0" xfId="0" applyNumberFormat="1" applyFont="1"/>
    <xf numFmtId="164" fontId="8" fillId="0" borderId="0" xfId="1" applyNumberFormat="1" applyFont="1" applyAlignment="1">
      <alignment horizontal="right" wrapText="1"/>
    </xf>
    <xf numFmtId="164" fontId="9" fillId="0" borderId="0" xfId="0" applyNumberFormat="1" applyFont="1"/>
    <xf numFmtId="6" fontId="9" fillId="0" borderId="0" xfId="0" applyNumberFormat="1" applyFont="1"/>
    <xf numFmtId="3" fontId="9" fillId="0" borderId="0" xfId="0" applyNumberFormat="1" applyFont="1"/>
    <xf numFmtId="8" fontId="9" fillId="0" borderId="0" xfId="0" applyNumberFormat="1" applyFont="1"/>
    <xf numFmtId="0" fontId="12" fillId="0" borderId="0" xfId="0" applyFont="1"/>
    <xf numFmtId="0" fontId="15" fillId="0" borderId="0" xfId="0" applyFont="1"/>
    <xf numFmtId="164" fontId="16" fillId="0" borderId="0" xfId="0" applyNumberFormat="1" applyFont="1" applyAlignment="1">
      <alignment horizontal="right" wrapText="1"/>
    </xf>
    <xf numFmtId="164" fontId="8" fillId="0" borderId="0" xfId="64" applyNumberFormat="1" applyFont="1" applyAlignment="1">
      <alignment wrapText="1"/>
    </xf>
    <xf numFmtId="164" fontId="8" fillId="0" borderId="0" xfId="1" applyNumberFormat="1" applyFont="1" applyAlignment="1">
      <alignment wrapText="1"/>
    </xf>
    <xf numFmtId="0" fontId="16" fillId="0" borderId="0" xfId="0" applyFont="1"/>
    <xf numFmtId="164" fontId="8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right"/>
    </xf>
    <xf numFmtId="3" fontId="8" fillId="0" borderId="1" xfId="476" applyNumberFormat="1" applyFont="1" applyBorder="1" applyAlignment="1">
      <alignment horizontal="right" wrapText="1"/>
    </xf>
    <xf numFmtId="0" fontId="18" fillId="0" borderId="0" xfId="0" applyFont="1"/>
    <xf numFmtId="0" fontId="13" fillId="0" borderId="0" xfId="0" applyFont="1"/>
    <xf numFmtId="0" fontId="8" fillId="0" borderId="0" xfId="0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8" fillId="0" borderId="0" xfId="64" applyNumberFormat="1" applyFont="1" applyAlignment="1">
      <alignment horizontal="right" wrapText="1"/>
    </xf>
    <xf numFmtId="3" fontId="8" fillId="0" borderId="0" xfId="0" applyNumberFormat="1" applyFont="1" applyAlignment="1">
      <alignment wrapText="1"/>
    </xf>
    <xf numFmtId="3" fontId="16" fillId="0" borderId="0" xfId="0" applyNumberFormat="1" applyFont="1" applyAlignment="1">
      <alignment horizontal="right" wrapText="1"/>
    </xf>
    <xf numFmtId="3" fontId="8" fillId="0" borderId="0" xfId="64" applyNumberFormat="1" applyFont="1" applyAlignment="1">
      <alignment horizontal="right"/>
    </xf>
    <xf numFmtId="3" fontId="8" fillId="0" borderId="0" xfId="1" applyNumberFormat="1" applyFont="1" applyAlignment="1">
      <alignment horizontal="right" wrapText="1"/>
    </xf>
  </cellXfs>
  <cellStyles count="477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Normal" xfId="0" builtinId="0"/>
    <cellStyle name="Normal 2" xfId="64" xr:uid="{00000000-0005-0000-0000-0000DB010000}"/>
    <cellStyle name="Normal 2 2" xfId="476" xr:uid="{00000000-0005-0000-0000-0000DC010000}"/>
    <cellStyle name="Normal 3" xfId="475" xr:uid="{00000000-0005-0000-0000-0000DD01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V320"/>
  <sheetViews>
    <sheetView tabSelected="1" zoomScaleNormal="100" workbookViewId="0">
      <selection activeCell="A3" sqref="A3"/>
    </sheetView>
  </sheetViews>
  <sheetFormatPr defaultColWidth="11" defaultRowHeight="12.75" x14ac:dyDescent="0.2"/>
  <cols>
    <col min="1" max="1" width="12.125" style="2" bestFit="1" customWidth="1"/>
    <col min="2" max="9" width="12" style="2" bestFit="1" customWidth="1"/>
    <col min="10" max="10" width="13" style="2" bestFit="1" customWidth="1"/>
    <col min="11" max="17" width="12" style="2" bestFit="1" customWidth="1"/>
    <col min="18" max="18" width="14.375" style="2" bestFit="1" customWidth="1"/>
    <col min="19" max="19" width="12" style="2" bestFit="1" customWidth="1"/>
    <col min="20" max="20" width="0.875" style="2" customWidth="1"/>
    <col min="21" max="22" width="13" style="2" bestFit="1" customWidth="1"/>
    <col min="23" max="16384" width="11" style="2"/>
  </cols>
  <sheetData>
    <row r="2" spans="1:22" ht="13.5" x14ac:dyDescent="0.25">
      <c r="A2" s="1" t="s">
        <v>60</v>
      </c>
    </row>
    <row r="3" spans="1:22" ht="5.0999999999999996" customHeight="1" x14ac:dyDescent="0.25">
      <c r="A3" s="3"/>
    </row>
    <row r="4" spans="1:22" ht="13.5" x14ac:dyDescent="0.25">
      <c r="A4" s="4" t="s">
        <v>40</v>
      </c>
    </row>
    <row r="5" spans="1:22" ht="13.5" x14ac:dyDescent="0.25">
      <c r="B5" s="5" t="s">
        <v>7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6" t="s">
        <v>13</v>
      </c>
      <c r="I5" s="5" t="s">
        <v>16</v>
      </c>
      <c r="J5" s="6" t="s">
        <v>17</v>
      </c>
      <c r="K5" s="5" t="s">
        <v>19</v>
      </c>
      <c r="L5" s="6" t="s">
        <v>22</v>
      </c>
      <c r="M5" s="6" t="s">
        <v>24</v>
      </c>
      <c r="N5" s="6" t="s">
        <v>25</v>
      </c>
      <c r="O5" s="6" t="s">
        <v>21</v>
      </c>
      <c r="P5" s="6" t="s">
        <v>27</v>
      </c>
      <c r="Q5" s="6" t="s">
        <v>28</v>
      </c>
      <c r="R5" s="6" t="s">
        <v>30</v>
      </c>
      <c r="S5" s="6" t="s">
        <v>31</v>
      </c>
      <c r="T5" s="6"/>
      <c r="U5" s="6" t="s">
        <v>32</v>
      </c>
      <c r="V5" s="6" t="s">
        <v>39</v>
      </c>
    </row>
    <row r="6" spans="1:22" ht="13.5" x14ac:dyDescent="0.25">
      <c r="A6" s="2" t="s">
        <v>29</v>
      </c>
      <c r="B6" s="5"/>
      <c r="C6" s="5"/>
      <c r="D6" s="5"/>
      <c r="E6" s="5"/>
      <c r="F6" s="5"/>
      <c r="G6" s="5"/>
      <c r="H6" s="6"/>
      <c r="I6" s="5"/>
      <c r="J6" s="6"/>
      <c r="K6" s="5"/>
      <c r="L6" s="6"/>
      <c r="M6" s="6"/>
      <c r="N6" s="6"/>
      <c r="O6" s="6"/>
      <c r="P6" s="6"/>
      <c r="Q6" s="6"/>
      <c r="R6" s="7">
        <v>23013692</v>
      </c>
      <c r="S6" s="8">
        <v>27127892</v>
      </c>
      <c r="T6" s="8"/>
      <c r="U6" s="8">
        <v>33952973</v>
      </c>
      <c r="V6" s="8">
        <v>40442180</v>
      </c>
    </row>
    <row r="7" spans="1:22" ht="13.5" x14ac:dyDescent="0.25">
      <c r="A7" s="2" t="s">
        <v>26</v>
      </c>
      <c r="B7" s="5"/>
      <c r="C7" s="5"/>
      <c r="D7" s="5"/>
      <c r="E7" s="5"/>
      <c r="F7" s="5"/>
      <c r="G7" s="5"/>
      <c r="H7" s="6"/>
      <c r="I7" s="5"/>
      <c r="J7" s="6"/>
      <c r="K7" s="5"/>
      <c r="L7" s="6"/>
      <c r="M7" s="6"/>
      <c r="N7" s="6"/>
      <c r="O7" s="9">
        <v>35209322</v>
      </c>
      <c r="P7" s="8">
        <v>37714968</v>
      </c>
      <c r="Q7" s="8">
        <v>46612890</v>
      </c>
      <c r="R7" s="8">
        <v>51255724</v>
      </c>
      <c r="S7" s="8">
        <v>54310946</v>
      </c>
      <c r="T7" s="8"/>
      <c r="U7" s="8">
        <v>55854888</v>
      </c>
      <c r="V7" s="8">
        <v>57369864</v>
      </c>
    </row>
    <row r="8" spans="1:22" ht="13.5" x14ac:dyDescent="0.25">
      <c r="A8" s="2" t="s">
        <v>23</v>
      </c>
      <c r="B8" s="5"/>
      <c r="C8" s="5"/>
      <c r="D8" s="5"/>
      <c r="E8" s="5"/>
      <c r="F8" s="5"/>
      <c r="G8" s="5"/>
      <c r="H8" s="6"/>
      <c r="I8" s="5"/>
      <c r="J8" s="3"/>
      <c r="K8" s="5"/>
      <c r="L8" s="9">
        <v>139344302</v>
      </c>
      <c r="M8" s="8">
        <v>161408804</v>
      </c>
      <c r="N8" s="8">
        <v>176419805</v>
      </c>
      <c r="O8" s="8">
        <v>191918805</v>
      </c>
      <c r="P8" s="8">
        <v>212510805</v>
      </c>
      <c r="Q8" s="8">
        <v>234562305</v>
      </c>
      <c r="R8" s="8">
        <v>257130306</v>
      </c>
      <c r="S8" s="8">
        <v>270860306</v>
      </c>
      <c r="T8" s="8"/>
      <c r="U8" s="8">
        <v>282879306</v>
      </c>
      <c r="V8" s="8">
        <v>296519306</v>
      </c>
    </row>
    <row r="9" spans="1:22" x14ac:dyDescent="0.2">
      <c r="A9" s="2" t="s">
        <v>0</v>
      </c>
      <c r="B9" s="10">
        <f>ROUND(378118020,-3)</f>
        <v>378118000</v>
      </c>
      <c r="C9" s="10">
        <f>ROUND(476622420,-3)</f>
        <v>476622000</v>
      </c>
      <c r="D9" s="10">
        <f>ROUND(586423820,-3)</f>
        <v>586424000</v>
      </c>
      <c r="E9" s="10">
        <f>ROUND(698212040,-3)</f>
        <v>698212000</v>
      </c>
      <c r="F9" s="10">
        <f>ROUND(844270200,-3)</f>
        <v>844270000</v>
      </c>
      <c r="G9" s="10">
        <f>ROUND(1007207580,-3)</f>
        <v>1007208000</v>
      </c>
      <c r="H9" s="10">
        <f>ROUND(1189770100,-3)</f>
        <v>1189770000</v>
      </c>
      <c r="I9" s="11">
        <f>ROUND(1341572880,-3)</f>
        <v>1341573000</v>
      </c>
      <c r="J9" s="8">
        <v>1524426960</v>
      </c>
      <c r="K9" s="12">
        <v>1830397245</v>
      </c>
      <c r="L9" s="8">
        <v>2158457107</v>
      </c>
      <c r="M9" s="8">
        <v>2455740443</v>
      </c>
      <c r="N9" s="8">
        <v>2747357362</v>
      </c>
      <c r="O9" s="8">
        <v>3093910983</v>
      </c>
      <c r="P9" s="8">
        <v>3448615744</v>
      </c>
      <c r="Q9" s="8">
        <v>3806000000</v>
      </c>
      <c r="R9" s="8">
        <v>4183000000</v>
      </c>
      <c r="S9" s="8">
        <v>4624000000</v>
      </c>
      <c r="T9" s="8"/>
      <c r="U9" s="8">
        <v>5044000000</v>
      </c>
      <c r="V9" s="8">
        <v>5422000000</v>
      </c>
    </row>
    <row r="10" spans="1:22" x14ac:dyDescent="0.2">
      <c r="A10" s="2" t="s">
        <v>1</v>
      </c>
      <c r="B10" s="10">
        <f>ROUND(316975.5,-3)</f>
        <v>317000</v>
      </c>
      <c r="C10" s="10">
        <f>ROUND(1764485.5,-3)</f>
        <v>1764000</v>
      </c>
      <c r="D10" s="10">
        <f>ROUND(5016936.72,-3)</f>
        <v>5017000</v>
      </c>
      <c r="E10" s="10">
        <f>ROUND(7718003.96,-3)</f>
        <v>7718000</v>
      </c>
      <c r="F10" s="10">
        <f>ROUND(11243635.6,-3)</f>
        <v>11244000</v>
      </c>
      <c r="G10" s="10">
        <f>ROUND(20621711.86,-3)</f>
        <v>20622000</v>
      </c>
      <c r="H10" s="11">
        <f>ROUND(37318399,-3)</f>
        <v>37318000</v>
      </c>
      <c r="I10" s="10">
        <f>ROUND(42665498.82,-3)</f>
        <v>42665000</v>
      </c>
      <c r="J10" s="8">
        <v>42948319</v>
      </c>
      <c r="K10" s="8">
        <v>43142119</v>
      </c>
      <c r="L10" s="8">
        <v>43975419</v>
      </c>
      <c r="M10" s="8">
        <v>46515723</v>
      </c>
      <c r="N10" s="8">
        <v>59561822</v>
      </c>
      <c r="O10" s="8">
        <v>82627314</v>
      </c>
      <c r="P10" s="8">
        <v>109445017</v>
      </c>
      <c r="Q10" s="8">
        <v>133771821</v>
      </c>
      <c r="R10" s="8">
        <v>182891798</v>
      </c>
      <c r="S10" s="8">
        <v>231907991</v>
      </c>
      <c r="T10" s="8"/>
      <c r="U10" s="8">
        <v>294378607</v>
      </c>
      <c r="V10" s="8">
        <v>345607621</v>
      </c>
    </row>
    <row r="11" spans="1:22" x14ac:dyDescent="0.2">
      <c r="A11" s="2" t="s">
        <v>2</v>
      </c>
      <c r="B11" s="11">
        <v>1962000</v>
      </c>
      <c r="C11" s="11">
        <v>4662000</v>
      </c>
      <c r="D11" s="11">
        <v>6659000</v>
      </c>
      <c r="E11" s="11">
        <v>10305000</v>
      </c>
      <c r="F11" s="11">
        <v>14304000</v>
      </c>
      <c r="G11" s="11">
        <v>18774000</v>
      </c>
      <c r="H11" s="11">
        <v>25092000</v>
      </c>
      <c r="I11" s="11">
        <f>ROUND(29958567,-3)</f>
        <v>29959000</v>
      </c>
      <c r="J11" s="8">
        <v>33635626</v>
      </c>
      <c r="K11" s="8">
        <v>39368050</v>
      </c>
      <c r="L11" s="8">
        <v>48864686</v>
      </c>
      <c r="M11" s="8">
        <v>58441220</v>
      </c>
      <c r="N11" s="8">
        <v>71699386</v>
      </c>
      <c r="O11" s="8">
        <v>83183353</v>
      </c>
      <c r="P11" s="8">
        <v>98772559</v>
      </c>
      <c r="Q11" s="8">
        <v>115658873</v>
      </c>
      <c r="R11" s="8">
        <v>131862745</v>
      </c>
      <c r="S11" s="8">
        <v>145075844</v>
      </c>
      <c r="T11" s="8"/>
      <c r="U11" s="8">
        <v>161954993</v>
      </c>
      <c r="V11" s="8">
        <v>181286828</v>
      </c>
    </row>
    <row r="12" spans="1:22" x14ac:dyDescent="0.2">
      <c r="A12" s="2" t="s">
        <v>3</v>
      </c>
      <c r="B12" s="11">
        <v>78592000</v>
      </c>
      <c r="C12" s="11">
        <v>89306000</v>
      </c>
      <c r="D12" s="11">
        <v>100881000</v>
      </c>
      <c r="E12" s="11">
        <v>116647000</v>
      </c>
      <c r="F12" s="11">
        <v>130765000</v>
      </c>
      <c r="G12" s="11">
        <v>146540000</v>
      </c>
      <c r="H12" s="11">
        <v>161975000</v>
      </c>
      <c r="I12" s="11">
        <v>183700000</v>
      </c>
      <c r="J12" s="8">
        <v>196907000</v>
      </c>
      <c r="K12" s="8">
        <v>211446000</v>
      </c>
      <c r="L12" s="8">
        <v>226981000</v>
      </c>
      <c r="M12" s="8">
        <v>242540000</v>
      </c>
      <c r="N12" s="8">
        <v>254955000</v>
      </c>
      <c r="O12" s="8">
        <v>269082000</v>
      </c>
      <c r="P12" s="8">
        <v>280174000</v>
      </c>
      <c r="Q12" s="8">
        <v>288398000</v>
      </c>
      <c r="R12" s="8">
        <v>294091000</v>
      </c>
      <c r="S12" s="8">
        <v>309953000</v>
      </c>
      <c r="T12" s="8"/>
      <c r="U12" s="8">
        <v>443639000</v>
      </c>
      <c r="V12" s="12">
        <v>491827000</v>
      </c>
    </row>
    <row r="13" spans="1:22" x14ac:dyDescent="0.2">
      <c r="A13" s="2" t="s">
        <v>4</v>
      </c>
      <c r="B13" s="13">
        <f>ROUND(630897350,-3)</f>
        <v>630897000</v>
      </c>
      <c r="C13" s="13">
        <f>ROUND(704815460,-3)</f>
        <v>704815000</v>
      </c>
      <c r="D13" s="13">
        <f>ROUND(789293140,-3)</f>
        <v>789293000</v>
      </c>
      <c r="E13" s="13">
        <f>ROUND(920597173.48,-3)</f>
        <v>920597000</v>
      </c>
      <c r="F13" s="13">
        <f>ROUND(1081227983,-3)</f>
        <v>1081228000</v>
      </c>
      <c r="G13" s="13">
        <f>ROUND(1236813101.29,-3)</f>
        <v>1236813000</v>
      </c>
      <c r="H13" s="13">
        <f>ROUND(1401415211.29,-3)</f>
        <v>1401415000</v>
      </c>
      <c r="I13" s="11">
        <f>ROUND(1555972054,-3)</f>
        <v>1555972000</v>
      </c>
      <c r="J13" s="8">
        <v>1731684924</v>
      </c>
      <c r="K13" s="8">
        <v>1926083724</v>
      </c>
      <c r="L13" s="8">
        <v>2172561894</v>
      </c>
      <c r="M13" s="8">
        <v>2409257844</v>
      </c>
      <c r="N13" s="8">
        <v>2656877091</v>
      </c>
      <c r="O13" s="8">
        <v>2911145689</v>
      </c>
      <c r="P13" s="8">
        <v>3164628261</v>
      </c>
      <c r="Q13" s="8">
        <v>3418213254</v>
      </c>
      <c r="R13" s="8">
        <v>3663046416</v>
      </c>
      <c r="S13" s="8">
        <v>3932312986</v>
      </c>
      <c r="T13" s="8"/>
      <c r="U13" s="8">
        <v>4222404041</v>
      </c>
      <c r="V13" s="8">
        <v>4515226385</v>
      </c>
    </row>
    <row r="14" spans="1:22" s="3" customFormat="1" ht="13.5" x14ac:dyDescent="0.25">
      <c r="A14" s="3" t="s">
        <v>5</v>
      </c>
      <c r="B14" s="14">
        <f t="shared" ref="B14:K14" si="0">SUM(B9:B13)</f>
        <v>1089886000</v>
      </c>
      <c r="C14" s="14">
        <f t="shared" si="0"/>
        <v>1277169000</v>
      </c>
      <c r="D14" s="14">
        <f t="shared" si="0"/>
        <v>1488274000</v>
      </c>
      <c r="E14" s="14">
        <f t="shared" si="0"/>
        <v>1753479000</v>
      </c>
      <c r="F14" s="14">
        <f t="shared" si="0"/>
        <v>2081811000</v>
      </c>
      <c r="G14" s="14">
        <f t="shared" si="0"/>
        <v>2429957000</v>
      </c>
      <c r="H14" s="14">
        <f t="shared" si="0"/>
        <v>2815570000</v>
      </c>
      <c r="I14" s="14">
        <f t="shared" si="0"/>
        <v>3153869000</v>
      </c>
      <c r="J14" s="15">
        <f t="shared" si="0"/>
        <v>3529602829</v>
      </c>
      <c r="K14" s="16">
        <f t="shared" si="0"/>
        <v>4050437138</v>
      </c>
      <c r="L14" s="15">
        <f>SUM(L8:L13)</f>
        <v>4790184408</v>
      </c>
      <c r="M14" s="15">
        <f>SUM(M8:M13)</f>
        <v>5373904034</v>
      </c>
      <c r="N14" s="15">
        <f>SUM(N8:N13)</f>
        <v>5966870466</v>
      </c>
      <c r="O14" s="15">
        <f>SUM(O7:O13)</f>
        <v>6667077466</v>
      </c>
      <c r="P14" s="15">
        <f>SUM(P7:P13)</f>
        <v>7351861354</v>
      </c>
      <c r="Q14" s="15">
        <f>SUM(Q7:Q13)</f>
        <v>8043217143</v>
      </c>
      <c r="R14" s="17">
        <f>SUM(R6:R13)</f>
        <v>8786291681</v>
      </c>
      <c r="S14" s="15">
        <f>SUM(S6:S13)</f>
        <v>9595548965</v>
      </c>
      <c r="T14" s="15"/>
      <c r="U14" s="15">
        <f>SUM(U6:U13)</f>
        <v>10539063808</v>
      </c>
      <c r="V14" s="15">
        <f>SUM(V6:V13)</f>
        <v>11350279184</v>
      </c>
    </row>
    <row r="15" spans="1:22" ht="5.0999999999999996" customHeight="1" x14ac:dyDescent="0.25">
      <c r="A15" s="18"/>
    </row>
    <row r="16" spans="1:22" ht="13.5" x14ac:dyDescent="0.25">
      <c r="A16" s="4" t="s">
        <v>41</v>
      </c>
    </row>
    <row r="17" spans="1:22" ht="13.5" x14ac:dyDescent="0.25">
      <c r="B17" s="5" t="s">
        <v>7</v>
      </c>
      <c r="C17" s="5" t="s">
        <v>8</v>
      </c>
      <c r="D17" s="5" t="s">
        <v>9</v>
      </c>
      <c r="E17" s="5" t="s">
        <v>10</v>
      </c>
      <c r="F17" s="5" t="s">
        <v>11</v>
      </c>
      <c r="G17" s="5" t="s">
        <v>12</v>
      </c>
      <c r="H17" s="6" t="s">
        <v>13</v>
      </c>
      <c r="I17" s="5" t="s">
        <v>16</v>
      </c>
      <c r="J17" s="5" t="s">
        <v>18</v>
      </c>
      <c r="K17" s="5" t="s">
        <v>20</v>
      </c>
      <c r="L17" s="6" t="s">
        <v>22</v>
      </c>
      <c r="M17" s="6" t="s">
        <v>24</v>
      </c>
      <c r="N17" s="6" t="s">
        <v>25</v>
      </c>
      <c r="O17" s="6" t="s">
        <v>21</v>
      </c>
      <c r="P17" s="6" t="s">
        <v>27</v>
      </c>
      <c r="Q17" s="6" t="s">
        <v>28</v>
      </c>
      <c r="R17" s="6" t="s">
        <v>30</v>
      </c>
      <c r="S17" s="6" t="s">
        <v>31</v>
      </c>
      <c r="T17" s="6"/>
      <c r="U17" s="6" t="s">
        <v>32</v>
      </c>
      <c r="V17" s="6" t="s">
        <v>39</v>
      </c>
    </row>
    <row r="18" spans="1:22" ht="13.5" x14ac:dyDescent="0.25">
      <c r="A18" s="2" t="s">
        <v>29</v>
      </c>
      <c r="B18" s="5"/>
      <c r="C18" s="5"/>
      <c r="D18" s="5"/>
      <c r="E18" s="5"/>
      <c r="F18" s="5"/>
      <c r="G18" s="5"/>
      <c r="H18" s="6"/>
      <c r="I18" s="5"/>
      <c r="J18" s="5"/>
      <c r="K18" s="5"/>
      <c r="L18" s="6"/>
      <c r="M18" s="6"/>
      <c r="N18" s="6"/>
      <c r="O18" s="6"/>
      <c r="P18" s="6"/>
      <c r="Q18" s="6"/>
      <c r="R18" s="9">
        <v>23013692</v>
      </c>
      <c r="S18" s="8">
        <v>27127892</v>
      </c>
      <c r="T18" s="8"/>
      <c r="U18" s="8">
        <v>0</v>
      </c>
      <c r="V18" s="8">
        <v>0</v>
      </c>
    </row>
    <row r="19" spans="1:22" ht="13.5" x14ac:dyDescent="0.25">
      <c r="A19" s="2" t="s">
        <v>26</v>
      </c>
      <c r="B19" s="5"/>
      <c r="C19" s="5"/>
      <c r="D19" s="5"/>
      <c r="E19" s="5"/>
      <c r="F19" s="5"/>
      <c r="G19" s="5"/>
      <c r="H19" s="6"/>
      <c r="I19" s="5"/>
      <c r="J19" s="5"/>
      <c r="K19" s="5"/>
      <c r="L19" s="6"/>
      <c r="M19" s="6"/>
      <c r="N19" s="6"/>
      <c r="O19" s="9">
        <v>35209322</v>
      </c>
      <c r="P19" s="8">
        <v>37714968</v>
      </c>
      <c r="Q19" s="8">
        <v>46612890</v>
      </c>
      <c r="R19" s="8">
        <v>51255724</v>
      </c>
      <c r="S19" s="8">
        <v>54310946</v>
      </c>
      <c r="T19" s="8"/>
      <c r="U19" s="8">
        <v>36108269</v>
      </c>
      <c r="V19" s="8">
        <v>57369864</v>
      </c>
    </row>
    <row r="20" spans="1:22" ht="13.5" x14ac:dyDescent="0.25">
      <c r="A20" s="2" t="s">
        <v>23</v>
      </c>
      <c r="B20" s="5"/>
      <c r="C20" s="5"/>
      <c r="D20" s="5"/>
      <c r="E20" s="5"/>
      <c r="F20" s="5"/>
      <c r="G20" s="5"/>
      <c r="H20" s="6"/>
      <c r="I20" s="5"/>
      <c r="J20" s="5"/>
      <c r="K20" s="5"/>
      <c r="L20" s="9">
        <v>139344302</v>
      </c>
      <c r="M20" s="8">
        <v>161408804</v>
      </c>
      <c r="N20" s="8">
        <v>176419805</v>
      </c>
      <c r="O20" s="8">
        <v>191918805</v>
      </c>
      <c r="P20" s="8">
        <v>212510805</v>
      </c>
      <c r="Q20" s="8">
        <v>234562305</v>
      </c>
      <c r="R20" s="8">
        <v>257130306</v>
      </c>
      <c r="S20" s="8">
        <v>270860306</v>
      </c>
      <c r="T20" s="8"/>
      <c r="U20" s="8">
        <v>282879306</v>
      </c>
      <c r="V20" s="12">
        <v>296519306</v>
      </c>
    </row>
    <row r="21" spans="1:22" x14ac:dyDescent="0.2">
      <c r="A21" s="2" t="s">
        <v>0</v>
      </c>
      <c r="B21" s="10">
        <f>ROUND(378118020,-3)</f>
        <v>378118000</v>
      </c>
      <c r="C21" s="10">
        <f>ROUND(476622420,-3)</f>
        <v>476622000</v>
      </c>
      <c r="D21" s="10">
        <f>ROUND(586423820,-3)</f>
        <v>586424000</v>
      </c>
      <c r="E21" s="10">
        <f>ROUND(698212040,-3)</f>
        <v>698212000</v>
      </c>
      <c r="F21" s="10">
        <f>ROUND(844270200,-3)</f>
        <v>844270000</v>
      </c>
      <c r="G21" s="10">
        <f>ROUND(1007207580,-3)</f>
        <v>1007208000</v>
      </c>
      <c r="H21" s="10">
        <f>ROUND(1189770100,-3)</f>
        <v>1189770000</v>
      </c>
      <c r="I21" s="10">
        <f>ROUND(1341572880,-3)</f>
        <v>1341573000</v>
      </c>
      <c r="J21" s="8">
        <v>1524426960</v>
      </c>
      <c r="K21" s="8">
        <v>1830397245</v>
      </c>
      <c r="L21" s="8">
        <v>2158457107</v>
      </c>
      <c r="M21" s="8">
        <v>2455740443</v>
      </c>
      <c r="N21" s="8">
        <v>2747357362</v>
      </c>
      <c r="O21" s="8">
        <v>3093910983</v>
      </c>
      <c r="P21" s="8">
        <v>3448615744</v>
      </c>
      <c r="Q21" s="8">
        <v>3806000000</v>
      </c>
      <c r="R21" s="8">
        <v>4183000000</v>
      </c>
      <c r="S21" s="8">
        <v>4625000000</v>
      </c>
      <c r="T21" s="8"/>
      <c r="U21" s="8">
        <v>5044000000</v>
      </c>
      <c r="V21" s="8">
        <v>5422000000</v>
      </c>
    </row>
    <row r="22" spans="1:22" x14ac:dyDescent="0.2">
      <c r="A22" s="2" t="s">
        <v>1</v>
      </c>
      <c r="B22" s="10">
        <f>ROUND(316975.5,-3)</f>
        <v>317000</v>
      </c>
      <c r="C22" s="10">
        <f>ROUND(1764485.5,-3)</f>
        <v>1764000</v>
      </c>
      <c r="D22" s="10">
        <f>ROUND(5016936.7,-3)</f>
        <v>5017000</v>
      </c>
      <c r="E22" s="10">
        <f>ROUND(7718003.96,-3)</f>
        <v>7718000</v>
      </c>
      <c r="F22" s="10">
        <f>ROUND(11243635.6,-3)</f>
        <v>11244000</v>
      </c>
      <c r="G22" s="10">
        <f>ROUND(20621711.86,-3)</f>
        <v>20622000</v>
      </c>
      <c r="H22" s="11">
        <f>ROUND(37318399,-3)</f>
        <v>37318000</v>
      </c>
      <c r="I22" s="10">
        <f>ROUND(42665498.82,-3)</f>
        <v>42665000</v>
      </c>
      <c r="J22" s="8">
        <v>42948319</v>
      </c>
      <c r="K22" s="8">
        <v>43142119</v>
      </c>
      <c r="L22" s="8">
        <v>43975419</v>
      </c>
      <c r="M22" s="8">
        <v>46515723</v>
      </c>
      <c r="N22" s="8">
        <v>59561822</v>
      </c>
      <c r="O22" s="8">
        <v>82627314</v>
      </c>
      <c r="P22" s="8">
        <v>109445017</v>
      </c>
      <c r="Q22" s="8">
        <v>133771821</v>
      </c>
      <c r="R22" s="8">
        <v>182891798</v>
      </c>
      <c r="S22" s="8">
        <v>231907991</v>
      </c>
      <c r="T22" s="8"/>
      <c r="U22" s="8">
        <v>0</v>
      </c>
      <c r="V22" s="8">
        <v>0</v>
      </c>
    </row>
    <row r="23" spans="1:22" x14ac:dyDescent="0.2">
      <c r="A23" s="2" t="s">
        <v>2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/>
      <c r="U23" s="8">
        <v>0</v>
      </c>
      <c r="V23" s="8">
        <v>0</v>
      </c>
    </row>
    <row r="24" spans="1:22" x14ac:dyDescent="0.2">
      <c r="A24" s="2" t="s">
        <v>3</v>
      </c>
      <c r="B24" s="11">
        <v>78592000</v>
      </c>
      <c r="C24" s="11">
        <v>89306000</v>
      </c>
      <c r="D24" s="11">
        <v>100881000</v>
      </c>
      <c r="E24" s="11">
        <v>116647000</v>
      </c>
      <c r="F24" s="11">
        <v>130765000</v>
      </c>
      <c r="G24" s="11">
        <v>146540000</v>
      </c>
      <c r="H24" s="11">
        <v>161975000</v>
      </c>
      <c r="I24" s="11">
        <v>183700000</v>
      </c>
      <c r="J24" s="8">
        <v>196907000</v>
      </c>
      <c r="K24" s="8">
        <v>211446000</v>
      </c>
      <c r="L24" s="8">
        <v>226981000</v>
      </c>
      <c r="M24" s="8">
        <v>242540000</v>
      </c>
      <c r="N24" s="8">
        <v>254955000</v>
      </c>
      <c r="O24" s="8">
        <v>269082000</v>
      </c>
      <c r="P24" s="8">
        <v>280174000</v>
      </c>
      <c r="Q24" s="8">
        <v>288398000</v>
      </c>
      <c r="R24" s="8">
        <v>294091000</v>
      </c>
      <c r="S24" s="8">
        <v>309953000</v>
      </c>
      <c r="T24" s="8"/>
      <c r="U24" s="8">
        <v>345044000</v>
      </c>
      <c r="V24" s="8">
        <v>391285000</v>
      </c>
    </row>
    <row r="25" spans="1:22" x14ac:dyDescent="0.2">
      <c r="A25" s="2" t="s">
        <v>4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/>
      <c r="U25" s="8">
        <v>0</v>
      </c>
      <c r="V25" s="8">
        <v>0</v>
      </c>
    </row>
    <row r="26" spans="1:22" ht="13.5" x14ac:dyDescent="0.25">
      <c r="A26" s="3" t="s">
        <v>5</v>
      </c>
      <c r="B26" s="14">
        <f t="shared" ref="B26:K26" si="1">SUM(B21:B25)</f>
        <v>457027000</v>
      </c>
      <c r="C26" s="14">
        <f t="shared" si="1"/>
        <v>567692000</v>
      </c>
      <c r="D26" s="14">
        <f t="shared" si="1"/>
        <v>692322000</v>
      </c>
      <c r="E26" s="14">
        <f t="shared" si="1"/>
        <v>822577000</v>
      </c>
      <c r="F26" s="14">
        <f t="shared" si="1"/>
        <v>986279000</v>
      </c>
      <c r="G26" s="14">
        <f t="shared" si="1"/>
        <v>1174370000</v>
      </c>
      <c r="H26" s="14">
        <f t="shared" si="1"/>
        <v>1389063000</v>
      </c>
      <c r="I26" s="14">
        <f t="shared" si="1"/>
        <v>1567938000</v>
      </c>
      <c r="J26" s="15">
        <f t="shared" si="1"/>
        <v>1764282279</v>
      </c>
      <c r="K26" s="15">
        <f t="shared" si="1"/>
        <v>2084985364</v>
      </c>
      <c r="L26" s="15">
        <f>SUM(L20:L25)</f>
        <v>2568757828</v>
      </c>
      <c r="M26" s="15">
        <f>SUM(M20:M25)</f>
        <v>2906204970</v>
      </c>
      <c r="N26" s="15">
        <f>SUM(N20:N25)</f>
        <v>3238293989</v>
      </c>
      <c r="O26" s="15">
        <f>SUM(O19:O25)</f>
        <v>3672748424</v>
      </c>
      <c r="P26" s="15">
        <f>SUM(P19:P25)</f>
        <v>4088460534</v>
      </c>
      <c r="Q26" s="15">
        <f>SUM(Q19:Q25)</f>
        <v>4509345016</v>
      </c>
      <c r="R26" s="15">
        <f>SUM(R18:R25)</f>
        <v>4991382520</v>
      </c>
      <c r="S26" s="15">
        <f>SUM(S18:S25)</f>
        <v>5519160135</v>
      </c>
      <c r="T26" s="15"/>
      <c r="U26" s="15">
        <f>SUM(U19:U25)</f>
        <v>5708031575</v>
      </c>
      <c r="V26" s="15">
        <f>SUM(V18:V25)</f>
        <v>6167174170</v>
      </c>
    </row>
    <row r="27" spans="1:22" s="3" customFormat="1" ht="13.5" x14ac:dyDescent="0.2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22" s="3" customFormat="1" ht="13.5" x14ac:dyDescent="0.25">
      <c r="A28" s="4" t="s">
        <v>42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U28" s="6" t="s">
        <v>32</v>
      </c>
      <c r="V28" s="6" t="s">
        <v>39</v>
      </c>
    </row>
    <row r="29" spans="1:22" s="3" customFormat="1" ht="13.5" x14ac:dyDescent="0.25">
      <c r="A29" s="19" t="s">
        <v>29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U29" s="8">
        <v>33952973</v>
      </c>
      <c r="V29" s="8">
        <v>40442180</v>
      </c>
    </row>
    <row r="30" spans="1:22" s="3" customFormat="1" ht="13.5" x14ac:dyDescent="0.25">
      <c r="A30" s="2" t="s">
        <v>26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U30" s="8">
        <v>19746619</v>
      </c>
      <c r="V30" s="8">
        <v>21144176</v>
      </c>
    </row>
    <row r="31" spans="1:22" s="3" customFormat="1" ht="13.5" x14ac:dyDescent="0.25">
      <c r="A31" s="2" t="s">
        <v>23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U31" s="8">
        <v>0</v>
      </c>
      <c r="V31" s="8">
        <v>0</v>
      </c>
    </row>
    <row r="32" spans="1:22" s="3" customFormat="1" ht="13.5" x14ac:dyDescent="0.25">
      <c r="A32" s="2" t="s">
        <v>0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U32" s="8">
        <v>0</v>
      </c>
      <c r="V32" s="8">
        <v>0</v>
      </c>
    </row>
    <row r="33" spans="1:22" s="3" customFormat="1" ht="13.5" x14ac:dyDescent="0.25">
      <c r="A33" s="2" t="s">
        <v>1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U33" s="8">
        <v>294378607</v>
      </c>
      <c r="V33" s="8">
        <v>345607621</v>
      </c>
    </row>
    <row r="34" spans="1:22" s="3" customFormat="1" ht="13.5" x14ac:dyDescent="0.25">
      <c r="A34" s="2" t="s">
        <v>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U34" s="8">
        <v>0</v>
      </c>
      <c r="V34" s="8">
        <v>0</v>
      </c>
    </row>
    <row r="35" spans="1:22" s="3" customFormat="1" ht="13.5" x14ac:dyDescent="0.25">
      <c r="A35" s="2" t="s">
        <v>33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U35" s="8">
        <v>98595000</v>
      </c>
      <c r="V35" s="8">
        <v>100542000</v>
      </c>
    </row>
    <row r="36" spans="1:22" s="3" customFormat="1" ht="13.5" x14ac:dyDescent="0.25">
      <c r="A36" s="2" t="s">
        <v>4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U36" s="8">
        <v>0</v>
      </c>
      <c r="V36" s="8">
        <v>0</v>
      </c>
    </row>
    <row r="37" spans="1:22" s="3" customFormat="1" ht="13.5" x14ac:dyDescent="0.25">
      <c r="A37" s="3" t="s">
        <v>5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U37" s="15">
        <f>SUM(U29:U36)</f>
        <v>446673199</v>
      </c>
      <c r="V37" s="15">
        <f>SUM(V29:V36)</f>
        <v>507735977</v>
      </c>
    </row>
    <row r="38" spans="1:22" ht="13.5" x14ac:dyDescent="0.25">
      <c r="A38" s="3"/>
      <c r="J38" s="11"/>
    </row>
    <row r="39" spans="1:22" ht="13.5" x14ac:dyDescent="0.25">
      <c r="A39" s="4" t="s">
        <v>43</v>
      </c>
    </row>
    <row r="40" spans="1:22" ht="13.5" x14ac:dyDescent="0.25">
      <c r="B40" s="5" t="s">
        <v>7</v>
      </c>
      <c r="C40" s="5" t="s">
        <v>8</v>
      </c>
      <c r="D40" s="5" t="s">
        <v>9</v>
      </c>
      <c r="E40" s="5" t="s">
        <v>10</v>
      </c>
      <c r="F40" s="5" t="s">
        <v>11</v>
      </c>
      <c r="G40" s="5" t="s">
        <v>12</v>
      </c>
      <c r="H40" s="6" t="s">
        <v>13</v>
      </c>
      <c r="I40" s="5" t="s">
        <v>16</v>
      </c>
      <c r="J40" s="5" t="s">
        <v>17</v>
      </c>
      <c r="K40" s="5" t="s">
        <v>19</v>
      </c>
      <c r="L40" s="6" t="s">
        <v>22</v>
      </c>
      <c r="M40" s="6" t="s">
        <v>24</v>
      </c>
      <c r="N40" s="6" t="s">
        <v>25</v>
      </c>
      <c r="O40" s="6" t="s">
        <v>21</v>
      </c>
      <c r="P40" s="6" t="s">
        <v>27</v>
      </c>
      <c r="Q40" s="6" t="s">
        <v>28</v>
      </c>
      <c r="R40" s="6" t="s">
        <v>30</v>
      </c>
      <c r="S40" s="6" t="s">
        <v>31</v>
      </c>
      <c r="T40" s="6"/>
      <c r="U40" s="6" t="s">
        <v>32</v>
      </c>
      <c r="V40" s="6" t="s">
        <v>39</v>
      </c>
    </row>
    <row r="41" spans="1:22" ht="13.5" x14ac:dyDescent="0.25">
      <c r="A41" s="2" t="s">
        <v>29</v>
      </c>
      <c r="B41" s="5"/>
      <c r="C41" s="5"/>
      <c r="D41" s="5"/>
      <c r="E41" s="5"/>
      <c r="F41" s="5"/>
      <c r="G41" s="5"/>
      <c r="H41" s="6"/>
      <c r="I41" s="5"/>
      <c r="J41" s="5"/>
      <c r="K41" s="5"/>
      <c r="L41" s="6"/>
      <c r="M41" s="6"/>
      <c r="N41" s="6"/>
      <c r="O41" s="6"/>
      <c r="P41" s="6"/>
      <c r="Q41" s="6"/>
      <c r="R41" s="9">
        <v>0</v>
      </c>
      <c r="S41" s="8">
        <v>0</v>
      </c>
      <c r="T41" s="8"/>
      <c r="U41" s="8">
        <v>0</v>
      </c>
      <c r="V41" s="8">
        <v>0</v>
      </c>
    </row>
    <row r="42" spans="1:22" ht="13.5" x14ac:dyDescent="0.25">
      <c r="A42" s="2" t="s">
        <v>26</v>
      </c>
      <c r="B42" s="5"/>
      <c r="C42" s="5"/>
      <c r="D42" s="5"/>
      <c r="E42" s="5"/>
      <c r="F42" s="5"/>
      <c r="G42" s="5"/>
      <c r="H42" s="6"/>
      <c r="I42" s="5"/>
      <c r="J42" s="5"/>
      <c r="K42" s="5"/>
      <c r="L42" s="6"/>
      <c r="M42" s="6"/>
      <c r="N42" s="6"/>
      <c r="O42" s="9">
        <v>0</v>
      </c>
      <c r="P42" s="8">
        <v>0</v>
      </c>
      <c r="Q42" s="8">
        <v>0</v>
      </c>
      <c r="R42" s="8">
        <v>0</v>
      </c>
      <c r="S42" s="8">
        <v>0</v>
      </c>
      <c r="T42" s="8"/>
      <c r="U42" s="8">
        <v>0</v>
      </c>
      <c r="V42" s="8">
        <v>0</v>
      </c>
    </row>
    <row r="43" spans="1:22" ht="13.5" x14ac:dyDescent="0.25">
      <c r="A43" s="2" t="s">
        <v>23</v>
      </c>
      <c r="B43" s="5"/>
      <c r="C43" s="5"/>
      <c r="D43" s="5"/>
      <c r="E43" s="5"/>
      <c r="F43" s="5"/>
      <c r="G43" s="5"/>
      <c r="H43" s="6"/>
      <c r="I43" s="5"/>
      <c r="J43" s="5"/>
      <c r="K43" s="5"/>
      <c r="L43" s="8">
        <v>0</v>
      </c>
      <c r="M43" s="8">
        <v>0</v>
      </c>
      <c r="N43" s="8">
        <v>0</v>
      </c>
      <c r="O43" s="8">
        <v>0</v>
      </c>
      <c r="P43" s="8">
        <v>0</v>
      </c>
      <c r="Q43" s="8">
        <v>0</v>
      </c>
      <c r="R43" s="8">
        <v>0</v>
      </c>
      <c r="S43" s="8">
        <v>0</v>
      </c>
      <c r="T43" s="8"/>
      <c r="U43" s="8">
        <v>0</v>
      </c>
      <c r="V43" s="8">
        <v>0</v>
      </c>
    </row>
    <row r="44" spans="1:22" x14ac:dyDescent="0.2">
      <c r="A44" s="2" t="s">
        <v>0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/>
      <c r="U44" s="8">
        <v>0</v>
      </c>
      <c r="V44" s="8">
        <v>0</v>
      </c>
    </row>
    <row r="45" spans="1:22" x14ac:dyDescent="0.2">
      <c r="A45" s="2" t="s">
        <v>1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/>
      <c r="U45" s="8">
        <v>0</v>
      </c>
      <c r="V45" s="8">
        <v>0</v>
      </c>
    </row>
    <row r="46" spans="1:22" x14ac:dyDescent="0.2">
      <c r="A46" s="2" t="s">
        <v>2</v>
      </c>
      <c r="B46" s="11">
        <v>1962000</v>
      </c>
      <c r="C46" s="11">
        <v>4662000</v>
      </c>
      <c r="D46" s="11">
        <v>6659000</v>
      </c>
      <c r="E46" s="11">
        <v>10305000</v>
      </c>
      <c r="F46" s="11">
        <v>14304000</v>
      </c>
      <c r="G46" s="11">
        <v>18774000</v>
      </c>
      <c r="H46" s="11">
        <v>25092000</v>
      </c>
      <c r="I46" s="20">
        <f>ROUND(29958567,-3)</f>
        <v>29959000</v>
      </c>
      <c r="J46" s="8">
        <v>33635626</v>
      </c>
      <c r="K46" s="8">
        <v>39368050</v>
      </c>
      <c r="L46" s="8">
        <v>48864686</v>
      </c>
      <c r="M46" s="8">
        <v>58441220</v>
      </c>
      <c r="N46" s="8">
        <v>71699386</v>
      </c>
      <c r="O46" s="8">
        <v>83183353</v>
      </c>
      <c r="P46" s="8">
        <v>98772559</v>
      </c>
      <c r="Q46" s="8">
        <v>115658873</v>
      </c>
      <c r="R46" s="8">
        <v>131862745</v>
      </c>
      <c r="S46" s="8">
        <v>145075844</v>
      </c>
      <c r="T46" s="8"/>
      <c r="U46" s="8">
        <v>161954993</v>
      </c>
      <c r="V46" s="8">
        <v>181286828</v>
      </c>
    </row>
    <row r="47" spans="1:22" x14ac:dyDescent="0.2">
      <c r="A47" s="2" t="s">
        <v>3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8">
        <v>0</v>
      </c>
      <c r="S47" s="8">
        <v>0</v>
      </c>
      <c r="T47" s="8"/>
      <c r="U47" s="8">
        <v>0</v>
      </c>
      <c r="V47" s="8">
        <v>0</v>
      </c>
    </row>
    <row r="48" spans="1:22" x14ac:dyDescent="0.2">
      <c r="A48" s="2" t="s">
        <v>4</v>
      </c>
      <c r="B48" s="13">
        <f>ROUND(630897350,-3)</f>
        <v>630897000</v>
      </c>
      <c r="C48" s="13">
        <f>ROUND(704815460,-3)</f>
        <v>704815000</v>
      </c>
      <c r="D48" s="13">
        <f>ROUND(789293140,-3)</f>
        <v>789293000</v>
      </c>
      <c r="E48" s="13">
        <f>ROUND(920597173.48,-3)</f>
        <v>920597000</v>
      </c>
      <c r="F48" s="13">
        <f>ROUND(1081227983,-3)</f>
        <v>1081228000</v>
      </c>
      <c r="G48" s="13">
        <f>ROUND(1236813101.29,-3)</f>
        <v>1236813000</v>
      </c>
      <c r="H48" s="13">
        <f>ROUND(1401415211.29,-3)</f>
        <v>1401415000</v>
      </c>
      <c r="I48" s="11">
        <f>ROUND(1555972054,-3)</f>
        <v>1555972000</v>
      </c>
      <c r="J48" s="8">
        <v>1731684924</v>
      </c>
      <c r="K48" s="8">
        <v>1926083724</v>
      </c>
      <c r="L48" s="8">
        <v>2172561894</v>
      </c>
      <c r="M48" s="8">
        <v>2409257844</v>
      </c>
      <c r="N48" s="8">
        <v>2656877091</v>
      </c>
      <c r="O48" s="8">
        <v>2911145689</v>
      </c>
      <c r="P48" s="8">
        <v>3164628261</v>
      </c>
      <c r="Q48" s="8">
        <v>3418213254</v>
      </c>
      <c r="R48" s="8">
        <v>3663046416</v>
      </c>
      <c r="S48" s="8">
        <v>3932312986</v>
      </c>
      <c r="T48" s="8"/>
      <c r="U48" s="8">
        <v>4222404041</v>
      </c>
      <c r="V48" s="8">
        <v>4515226385</v>
      </c>
    </row>
    <row r="49" spans="1:22" ht="13.5" x14ac:dyDescent="0.25">
      <c r="A49" s="3" t="s">
        <v>5</v>
      </c>
      <c r="B49" s="14">
        <f t="shared" ref="B49:K49" si="2">SUM(B44:B48)</f>
        <v>632859000</v>
      </c>
      <c r="C49" s="14">
        <f t="shared" si="2"/>
        <v>709477000</v>
      </c>
      <c r="D49" s="14">
        <f t="shared" si="2"/>
        <v>795952000</v>
      </c>
      <c r="E49" s="14">
        <f t="shared" si="2"/>
        <v>930902000</v>
      </c>
      <c r="F49" s="14">
        <f t="shared" si="2"/>
        <v>1095532000</v>
      </c>
      <c r="G49" s="14">
        <f t="shared" si="2"/>
        <v>1255587000</v>
      </c>
      <c r="H49" s="14">
        <f t="shared" si="2"/>
        <v>1426507000</v>
      </c>
      <c r="I49" s="14">
        <f t="shared" si="2"/>
        <v>1585931000</v>
      </c>
      <c r="J49" s="15">
        <f t="shared" si="2"/>
        <v>1765320550</v>
      </c>
      <c r="K49" s="15">
        <f t="shared" si="2"/>
        <v>1965451774</v>
      </c>
      <c r="L49" s="15">
        <f>SUM(L43:L48)</f>
        <v>2221426580</v>
      </c>
      <c r="M49" s="15">
        <f>SUM(M43:M48)</f>
        <v>2467699064</v>
      </c>
      <c r="N49" s="15">
        <f>SUM(N43:N48)</f>
        <v>2728576477</v>
      </c>
      <c r="O49" s="15">
        <f>SUM(O42:O48)</f>
        <v>2994329042</v>
      </c>
      <c r="P49" s="15">
        <f>SUM(P42:P48)</f>
        <v>3263400820</v>
      </c>
      <c r="Q49" s="15">
        <f>SUM(Q42:Q48)</f>
        <v>3533872127</v>
      </c>
      <c r="R49" s="15">
        <f>SUM(R41:R48)</f>
        <v>3794909161</v>
      </c>
      <c r="S49" s="15">
        <f>SUM(S41:S48)</f>
        <v>4077388830</v>
      </c>
      <c r="T49" s="15"/>
      <c r="U49" s="15">
        <f>SUM(U41:U48)</f>
        <v>4384359034</v>
      </c>
      <c r="V49" s="15">
        <f>SUM(V41:V48)</f>
        <v>4696513213</v>
      </c>
    </row>
    <row r="50" spans="1:22" ht="13.5" x14ac:dyDescent="0.25">
      <c r="A50" s="3"/>
    </row>
    <row r="51" spans="1:22" s="3" customFormat="1" ht="13.5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spans="1:22" ht="13.5" x14ac:dyDescent="0.25">
      <c r="A52" s="4" t="s">
        <v>44</v>
      </c>
    </row>
    <row r="53" spans="1:22" ht="13.5" x14ac:dyDescent="0.25">
      <c r="B53" s="5" t="s">
        <v>7</v>
      </c>
      <c r="C53" s="5" t="s">
        <v>8</v>
      </c>
      <c r="D53" s="5" t="s">
        <v>9</v>
      </c>
      <c r="E53" s="5" t="s">
        <v>10</v>
      </c>
      <c r="F53" s="5" t="s">
        <v>11</v>
      </c>
      <c r="G53" s="5" t="s">
        <v>12</v>
      </c>
      <c r="H53" s="6" t="s">
        <v>13</v>
      </c>
      <c r="I53" s="5" t="s">
        <v>16</v>
      </c>
      <c r="J53" s="5" t="s">
        <v>17</v>
      </c>
      <c r="K53" s="5" t="s">
        <v>19</v>
      </c>
      <c r="L53" s="6" t="s">
        <v>22</v>
      </c>
      <c r="M53" s="6" t="s">
        <v>24</v>
      </c>
      <c r="N53" s="6" t="s">
        <v>25</v>
      </c>
      <c r="O53" s="6" t="s">
        <v>21</v>
      </c>
      <c r="P53" s="6" t="s">
        <v>27</v>
      </c>
      <c r="Q53" s="6" t="s">
        <v>28</v>
      </c>
      <c r="R53" s="6" t="s">
        <v>30</v>
      </c>
      <c r="S53" s="6" t="s">
        <v>31</v>
      </c>
      <c r="T53" s="6"/>
      <c r="U53" s="6" t="s">
        <v>32</v>
      </c>
      <c r="V53" s="6" t="s">
        <v>39</v>
      </c>
    </row>
    <row r="54" spans="1:22" ht="13.5" x14ac:dyDescent="0.25">
      <c r="A54" s="2" t="s">
        <v>29</v>
      </c>
      <c r="B54" s="5"/>
      <c r="C54" s="5"/>
      <c r="D54" s="5"/>
      <c r="E54" s="5"/>
      <c r="F54" s="5"/>
      <c r="G54" s="5"/>
      <c r="H54" s="6"/>
      <c r="I54" s="5"/>
      <c r="J54" s="5"/>
      <c r="K54" s="5"/>
      <c r="L54" s="6"/>
      <c r="M54" s="6"/>
      <c r="N54" s="6"/>
      <c r="O54" s="6"/>
      <c r="P54" s="6"/>
      <c r="Q54" s="6"/>
      <c r="R54" s="9">
        <v>14206312</v>
      </c>
      <c r="S54" s="8">
        <v>16189763</v>
      </c>
      <c r="T54" s="8"/>
      <c r="U54" s="8">
        <v>21631912</v>
      </c>
      <c r="V54" s="8">
        <v>27233241</v>
      </c>
    </row>
    <row r="55" spans="1:22" ht="13.5" x14ac:dyDescent="0.25">
      <c r="A55" s="2" t="s">
        <v>26</v>
      </c>
      <c r="B55" s="5"/>
      <c r="C55" s="5"/>
      <c r="D55" s="5"/>
      <c r="E55" s="5"/>
      <c r="F55" s="5"/>
      <c r="G55" s="5"/>
      <c r="H55" s="6"/>
      <c r="I55" s="5"/>
      <c r="J55" s="5"/>
      <c r="K55" s="5"/>
      <c r="L55" s="6"/>
      <c r="M55" s="6"/>
      <c r="N55" s="6"/>
      <c r="O55" s="9">
        <v>30297014</v>
      </c>
      <c r="P55" s="8">
        <v>30678742</v>
      </c>
      <c r="Q55" s="8">
        <v>38166384</v>
      </c>
      <c r="R55" s="8">
        <v>40600187</v>
      </c>
      <c r="S55" s="8">
        <v>41665038</v>
      </c>
      <c r="T55" s="8"/>
      <c r="U55" s="8">
        <v>42348754</v>
      </c>
      <c r="V55" s="8">
        <v>41217233</v>
      </c>
    </row>
    <row r="56" spans="1:22" ht="13.5" x14ac:dyDescent="0.25">
      <c r="A56" s="2" t="s">
        <v>23</v>
      </c>
      <c r="B56" s="5"/>
      <c r="C56" s="5"/>
      <c r="D56" s="5"/>
      <c r="E56" s="5"/>
      <c r="F56" s="5"/>
      <c r="G56" s="5"/>
      <c r="H56" s="6"/>
      <c r="I56" s="5"/>
      <c r="J56" s="5"/>
      <c r="K56" s="5"/>
      <c r="L56" s="9">
        <v>87030051</v>
      </c>
      <c r="M56" s="8">
        <v>101321552</v>
      </c>
      <c r="N56" s="8">
        <v>105959553</v>
      </c>
      <c r="O56" s="8">
        <v>112887553</v>
      </c>
      <c r="P56" s="8">
        <v>122996553</v>
      </c>
      <c r="Q56" s="8">
        <v>137800053</v>
      </c>
      <c r="R56" s="8">
        <v>147024153</v>
      </c>
      <c r="S56" s="8">
        <v>149461152</v>
      </c>
      <c r="T56" s="8"/>
      <c r="U56" s="8">
        <v>155504214</v>
      </c>
      <c r="V56" s="8">
        <v>161697214</v>
      </c>
    </row>
    <row r="57" spans="1:22" x14ac:dyDescent="0.2">
      <c r="A57" s="2" t="s">
        <v>0</v>
      </c>
      <c r="B57" s="10">
        <f>ROUND(263389786.65,-3)</f>
        <v>263390000</v>
      </c>
      <c r="C57" s="10">
        <f>ROUND(333605828.37,-3)</f>
        <v>333606000</v>
      </c>
      <c r="D57" s="10">
        <f>ROUND(407112849.28,-3)</f>
        <v>407113000</v>
      </c>
      <c r="E57" s="10">
        <f>ROUND(474080572.5,-3)</f>
        <v>474081000</v>
      </c>
      <c r="F57" s="10">
        <f>ROUND(563443685.71,-3)</f>
        <v>563444000</v>
      </c>
      <c r="G57" s="10">
        <f>ROUND(657166680.48,-3)</f>
        <v>657167000</v>
      </c>
      <c r="H57" s="10">
        <f>ROUND(752730559.71,-3)</f>
        <v>752731000</v>
      </c>
      <c r="I57" s="20">
        <f>ROUND(806852966,-3)</f>
        <v>806853000</v>
      </c>
      <c r="J57" s="8">
        <v>875370445</v>
      </c>
      <c r="K57" s="8">
        <v>1036461570</v>
      </c>
      <c r="L57" s="8">
        <v>1201892044</v>
      </c>
      <c r="M57" s="8">
        <v>1340405454</v>
      </c>
      <c r="N57" s="8">
        <v>1455991845</v>
      </c>
      <c r="O57" s="8">
        <v>1600603590</v>
      </c>
      <c r="P57" s="8">
        <v>1763149785</v>
      </c>
      <c r="Q57" s="8">
        <v>1882000000</v>
      </c>
      <c r="R57" s="8">
        <v>2013000000</v>
      </c>
      <c r="S57" s="8">
        <v>2208000000</v>
      </c>
      <c r="T57" s="8"/>
      <c r="U57" s="8">
        <v>2351000000</v>
      </c>
      <c r="V57" s="8">
        <v>2448000000</v>
      </c>
    </row>
    <row r="58" spans="1:22" x14ac:dyDescent="0.2">
      <c r="A58" s="2" t="s">
        <v>1</v>
      </c>
      <c r="B58" s="10">
        <f>ROUND(316975.5,-3)</f>
        <v>317000</v>
      </c>
      <c r="C58" s="10">
        <f>ROUND(1764485.5,-3)</f>
        <v>1764000</v>
      </c>
      <c r="D58" s="10">
        <f>ROUND(5016936.72,-3)</f>
        <v>5017000</v>
      </c>
      <c r="E58" s="10">
        <f>ROUND(7718003.96,-3)</f>
        <v>7718000</v>
      </c>
      <c r="F58" s="10">
        <f>ROUND(11243635.6,-3)</f>
        <v>11244000</v>
      </c>
      <c r="G58" s="10">
        <f>ROUND(20618141.86,-3)</f>
        <v>20618000</v>
      </c>
      <c r="H58" s="11">
        <v>37309898.880000003</v>
      </c>
      <c r="I58" s="11">
        <f>ROUND(42071808.82,-3)</f>
        <v>42072000</v>
      </c>
      <c r="J58" s="8">
        <v>42948319</v>
      </c>
      <c r="K58" s="8">
        <v>42684631</v>
      </c>
      <c r="L58" s="8">
        <v>42655131</v>
      </c>
      <c r="M58" s="8">
        <v>44974135</v>
      </c>
      <c r="N58" s="8">
        <v>57465722</v>
      </c>
      <c r="O58" s="8">
        <v>78966009</v>
      </c>
      <c r="P58" s="8">
        <v>104838405</v>
      </c>
      <c r="Q58" s="8">
        <v>123563655</v>
      </c>
      <c r="R58" s="8">
        <v>169621994</v>
      </c>
      <c r="S58" s="8">
        <v>214234670</v>
      </c>
      <c r="T58" s="8"/>
      <c r="U58" s="8">
        <v>273885596</v>
      </c>
      <c r="V58" s="8">
        <v>322867394</v>
      </c>
    </row>
    <row r="59" spans="1:22" x14ac:dyDescent="0.2">
      <c r="A59" s="2" t="s">
        <v>2</v>
      </c>
      <c r="B59" s="11">
        <v>1750000</v>
      </c>
      <c r="C59" s="11">
        <v>4142000</v>
      </c>
      <c r="D59" s="11">
        <v>5493000</v>
      </c>
      <c r="E59" s="11">
        <v>8085000</v>
      </c>
      <c r="F59" s="11">
        <v>10989000</v>
      </c>
      <c r="G59" s="11">
        <v>13774000</v>
      </c>
      <c r="H59" s="11">
        <v>18058000</v>
      </c>
      <c r="I59" s="10">
        <f>ROUND(20577439,-3)</f>
        <v>20577000</v>
      </c>
      <c r="J59" s="8">
        <v>22706237</v>
      </c>
      <c r="K59" s="8">
        <v>24085339</v>
      </c>
      <c r="L59" s="8">
        <v>30254475</v>
      </c>
      <c r="M59" s="8">
        <v>35970502</v>
      </c>
      <c r="N59" s="8">
        <v>44313684</v>
      </c>
      <c r="O59" s="8">
        <v>50270958</v>
      </c>
      <c r="P59" s="8">
        <v>59411210</v>
      </c>
      <c r="Q59" s="8">
        <v>68200255</v>
      </c>
      <c r="R59" s="8">
        <v>75463743</v>
      </c>
      <c r="S59" s="8">
        <v>78913995</v>
      </c>
      <c r="T59" s="8"/>
      <c r="U59" s="8">
        <v>84972758</v>
      </c>
      <c r="V59" s="8">
        <v>92080073</v>
      </c>
    </row>
    <row r="60" spans="1:22" x14ac:dyDescent="0.2">
      <c r="A60" s="2" t="s">
        <v>3</v>
      </c>
      <c r="B60" s="11">
        <v>59880000</v>
      </c>
      <c r="C60" s="11">
        <v>61954000</v>
      </c>
      <c r="D60" s="11">
        <f>ROUND(64457540,-3)</f>
        <v>64458000</v>
      </c>
      <c r="E60" s="11">
        <f>ROUND(77141998,-3)</f>
        <v>77142000</v>
      </c>
      <c r="F60" s="11">
        <f>ROUND(86417951,-3)</f>
        <v>86418000</v>
      </c>
      <c r="G60" s="11">
        <f>ROUND(89406861,-3)</f>
        <v>89407000</v>
      </c>
      <c r="H60" s="11">
        <f>ROUND(92678703,-3)</f>
        <v>92679000</v>
      </c>
      <c r="I60" s="11">
        <f>ROUND(101469515.3,-3)</f>
        <v>101470000</v>
      </c>
      <c r="J60" s="7">
        <v>111090035.2</v>
      </c>
      <c r="K60" s="8">
        <v>106931957</v>
      </c>
      <c r="L60" s="8">
        <v>111663477</v>
      </c>
      <c r="M60" s="8">
        <v>114835365</v>
      </c>
      <c r="N60" s="8">
        <v>109540233</v>
      </c>
      <c r="O60" s="8">
        <v>116022403</v>
      </c>
      <c r="P60" s="8">
        <v>116136109</v>
      </c>
      <c r="Q60" s="8">
        <v>109217000</v>
      </c>
      <c r="R60" s="8">
        <v>104496673</v>
      </c>
      <c r="S60" s="8">
        <v>113532895</v>
      </c>
      <c r="T60" s="8"/>
      <c r="U60" s="8">
        <v>230931229</v>
      </c>
      <c r="V60" s="8">
        <v>262788053</v>
      </c>
    </row>
    <row r="61" spans="1:22" x14ac:dyDescent="0.2">
      <c r="A61" s="2" t="s">
        <v>4</v>
      </c>
      <c r="B61" s="13">
        <f>ROUND(299358343,-3)</f>
        <v>299358000</v>
      </c>
      <c r="C61" s="13">
        <f>ROUND(332884665.030564,-3)</f>
        <v>332885000</v>
      </c>
      <c r="D61" s="13">
        <f>ROUND(371218039.557394,-3)</f>
        <v>371218000</v>
      </c>
      <c r="E61" s="13">
        <f>ROUND(448309328.91031,-3)</f>
        <v>448309000</v>
      </c>
      <c r="F61" s="13">
        <f>ROUND(544725590,-3)</f>
        <v>544726000</v>
      </c>
      <c r="G61" s="13">
        <f>ROUND(625447336.961814,-3)</f>
        <v>625447000</v>
      </c>
      <c r="H61" s="13">
        <f>ROUND(699667830,-3)</f>
        <v>699668000</v>
      </c>
      <c r="I61" s="11">
        <f>ROUND(753361552,-3)</f>
        <v>753362000</v>
      </c>
      <c r="J61" s="8">
        <v>817191537</v>
      </c>
      <c r="K61" s="8">
        <v>894270333</v>
      </c>
      <c r="L61" s="8">
        <v>996549231</v>
      </c>
      <c r="M61" s="8">
        <v>1078754748</v>
      </c>
      <c r="N61" s="8">
        <v>1159502653</v>
      </c>
      <c r="O61" s="8">
        <v>1236771247</v>
      </c>
      <c r="P61" s="8">
        <v>1300854625</v>
      </c>
      <c r="Q61" s="8">
        <v>1352880844</v>
      </c>
      <c r="R61" s="8">
        <v>1392472696</v>
      </c>
      <c r="S61" s="8">
        <v>1445977711</v>
      </c>
      <c r="T61" s="8"/>
      <c r="U61" s="8">
        <v>1513192073</v>
      </c>
      <c r="V61" s="8">
        <v>1570976771</v>
      </c>
    </row>
    <row r="62" spans="1:22" ht="13.5" x14ac:dyDescent="0.25">
      <c r="A62" s="3" t="s">
        <v>5</v>
      </c>
      <c r="B62" s="14">
        <f t="shared" ref="B62:K62" si="3">SUM(B57:B61)</f>
        <v>624695000</v>
      </c>
      <c r="C62" s="14">
        <f t="shared" si="3"/>
        <v>734351000</v>
      </c>
      <c r="D62" s="14">
        <f t="shared" si="3"/>
        <v>853299000</v>
      </c>
      <c r="E62" s="14">
        <f t="shared" si="3"/>
        <v>1015335000</v>
      </c>
      <c r="F62" s="14">
        <f t="shared" si="3"/>
        <v>1216821000</v>
      </c>
      <c r="G62" s="14">
        <f t="shared" si="3"/>
        <v>1406413000</v>
      </c>
      <c r="H62" s="14">
        <f t="shared" si="3"/>
        <v>1600445898.8800001</v>
      </c>
      <c r="I62" s="14">
        <f t="shared" si="3"/>
        <v>1724334000</v>
      </c>
      <c r="J62" s="15">
        <f t="shared" si="3"/>
        <v>1869306573.2</v>
      </c>
      <c r="K62" s="15">
        <f t="shared" si="3"/>
        <v>2104433830</v>
      </c>
      <c r="L62" s="15">
        <f>SUM(L56:L61)</f>
        <v>2470044409</v>
      </c>
      <c r="M62" s="15">
        <f>SUM(M56:M61)</f>
        <v>2716261756</v>
      </c>
      <c r="N62" s="15">
        <f>SUM(N56:N61)</f>
        <v>2932773690</v>
      </c>
      <c r="O62" s="15">
        <f>SUM(O55:O61)</f>
        <v>3225818774</v>
      </c>
      <c r="P62" s="15">
        <f>SUM(P55:P61)</f>
        <v>3498065429</v>
      </c>
      <c r="Q62" s="15">
        <f>SUM(Q55:Q61)</f>
        <v>3711828191</v>
      </c>
      <c r="R62" s="15">
        <f>SUM(R54:R61)</f>
        <v>3956885758</v>
      </c>
      <c r="S62" s="15">
        <f>SUM(S54:S61)</f>
        <v>4267975224</v>
      </c>
      <c r="T62" s="15"/>
      <c r="U62" s="15">
        <f>SUM(U54:U61)</f>
        <v>4673466536</v>
      </c>
      <c r="V62" s="15">
        <f>SUM(V54:V61)</f>
        <v>4926859979</v>
      </c>
    </row>
    <row r="63" spans="1:22" ht="13.5" x14ac:dyDescent="0.25">
      <c r="A63" s="3"/>
    </row>
    <row r="64" spans="1:22" s="3" customFormat="1" ht="13.5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22" ht="13.5" x14ac:dyDescent="0.25">
      <c r="A65" s="4" t="s">
        <v>45</v>
      </c>
    </row>
    <row r="66" spans="1:22" ht="13.5" x14ac:dyDescent="0.25">
      <c r="B66" s="5" t="s">
        <v>7</v>
      </c>
      <c r="C66" s="5" t="s">
        <v>8</v>
      </c>
      <c r="D66" s="5" t="s">
        <v>9</v>
      </c>
      <c r="E66" s="5" t="s">
        <v>10</v>
      </c>
      <c r="F66" s="5" t="s">
        <v>11</v>
      </c>
      <c r="G66" s="5" t="s">
        <v>12</v>
      </c>
      <c r="H66" s="6" t="s">
        <v>13</v>
      </c>
      <c r="I66" s="5" t="s">
        <v>16</v>
      </c>
      <c r="J66" s="5" t="s">
        <v>18</v>
      </c>
      <c r="K66" s="5" t="s">
        <v>19</v>
      </c>
      <c r="L66" s="6" t="s">
        <v>22</v>
      </c>
      <c r="M66" s="6" t="s">
        <v>24</v>
      </c>
      <c r="N66" s="6" t="s">
        <v>25</v>
      </c>
      <c r="O66" s="6" t="s">
        <v>21</v>
      </c>
      <c r="P66" s="6" t="s">
        <v>27</v>
      </c>
      <c r="Q66" s="6" t="s">
        <v>28</v>
      </c>
      <c r="R66" s="6" t="s">
        <v>30</v>
      </c>
      <c r="S66" s="6" t="s">
        <v>31</v>
      </c>
      <c r="T66" s="6"/>
      <c r="U66" s="6" t="s">
        <v>32</v>
      </c>
      <c r="V66" s="3" t="s">
        <v>39</v>
      </c>
    </row>
    <row r="67" spans="1:22" ht="13.5" x14ac:dyDescent="0.25">
      <c r="A67" s="2" t="s">
        <v>29</v>
      </c>
      <c r="B67" s="5"/>
      <c r="C67" s="5"/>
      <c r="D67" s="5"/>
      <c r="E67" s="5"/>
      <c r="F67" s="5"/>
      <c r="G67" s="5"/>
      <c r="H67" s="6"/>
      <c r="I67" s="5"/>
      <c r="J67" s="5"/>
      <c r="K67" s="5"/>
      <c r="L67" s="6"/>
      <c r="M67" s="6"/>
      <c r="N67" s="6"/>
      <c r="O67" s="6"/>
      <c r="P67" s="6"/>
      <c r="Q67" s="6"/>
      <c r="R67" s="9">
        <v>14206312</v>
      </c>
      <c r="S67" s="8">
        <v>16189763</v>
      </c>
      <c r="T67" s="8"/>
      <c r="U67" s="8">
        <v>0</v>
      </c>
      <c r="V67" s="8">
        <v>0</v>
      </c>
    </row>
    <row r="68" spans="1:22" ht="13.5" x14ac:dyDescent="0.25">
      <c r="A68" s="2" t="s">
        <v>26</v>
      </c>
      <c r="B68" s="5"/>
      <c r="C68" s="5"/>
      <c r="D68" s="5"/>
      <c r="E68" s="5"/>
      <c r="F68" s="5"/>
      <c r="G68" s="5"/>
      <c r="H68" s="6"/>
      <c r="I68" s="5"/>
      <c r="J68" s="5"/>
      <c r="K68" s="5"/>
      <c r="L68" s="6"/>
      <c r="M68" s="6"/>
      <c r="N68" s="6"/>
      <c r="O68" s="9">
        <v>30297014</v>
      </c>
      <c r="P68" s="8">
        <v>30678742</v>
      </c>
      <c r="Q68" s="8">
        <v>38166384</v>
      </c>
      <c r="R68" s="8">
        <v>40600187</v>
      </c>
      <c r="S68" s="8">
        <v>41665038</v>
      </c>
      <c r="T68" s="8"/>
      <c r="U68" s="8">
        <v>23810095</v>
      </c>
      <c r="V68" s="8">
        <v>41217233</v>
      </c>
    </row>
    <row r="69" spans="1:22" ht="13.5" x14ac:dyDescent="0.25">
      <c r="A69" s="2" t="s">
        <v>23</v>
      </c>
      <c r="B69" s="5"/>
      <c r="C69" s="5"/>
      <c r="D69" s="5"/>
      <c r="E69" s="5"/>
      <c r="F69" s="5"/>
      <c r="G69" s="5"/>
      <c r="H69" s="6"/>
      <c r="I69" s="5"/>
      <c r="J69" s="5"/>
      <c r="K69" s="5"/>
      <c r="L69" s="9">
        <v>87030051</v>
      </c>
      <c r="M69" s="8">
        <v>101321552</v>
      </c>
      <c r="N69" s="8">
        <v>105959553</v>
      </c>
      <c r="O69" s="8">
        <v>112887553</v>
      </c>
      <c r="P69" s="8">
        <v>122996553</v>
      </c>
      <c r="Q69" s="8">
        <v>137800053</v>
      </c>
      <c r="R69" s="8">
        <v>147024153</v>
      </c>
      <c r="S69" s="8">
        <v>149461152</v>
      </c>
      <c r="T69" s="8"/>
      <c r="U69" s="8">
        <v>155504214</v>
      </c>
      <c r="V69" s="8">
        <v>161697214</v>
      </c>
    </row>
    <row r="70" spans="1:22" x14ac:dyDescent="0.2">
      <c r="A70" s="2" t="s">
        <v>0</v>
      </c>
      <c r="B70" s="21">
        <f>ROUND(263389786.65,-3)</f>
        <v>263390000</v>
      </c>
      <c r="C70" s="21">
        <f>ROUND(333605828.37,-3)</f>
        <v>333606000</v>
      </c>
      <c r="D70" s="21">
        <f>ROUND(407112849.28,-3)</f>
        <v>407113000</v>
      </c>
      <c r="E70" s="21">
        <f>ROUND(474080572.5,-3)</f>
        <v>474081000</v>
      </c>
      <c r="F70" s="21">
        <f>ROUND(563443685.71,-3)</f>
        <v>563444000</v>
      </c>
      <c r="G70" s="21">
        <f>ROUND(657166680.48,-3)</f>
        <v>657167000</v>
      </c>
      <c r="H70" s="21">
        <f>ROUND(752730559.71,-3)</f>
        <v>752731000</v>
      </c>
      <c r="I70" s="20">
        <f>ROUND(806852966,-3)</f>
        <v>806853000</v>
      </c>
      <c r="J70" s="8">
        <v>875370445</v>
      </c>
      <c r="K70" s="8">
        <v>1036461570</v>
      </c>
      <c r="L70" s="8">
        <v>1201892044</v>
      </c>
      <c r="M70" s="8">
        <v>1340405454</v>
      </c>
      <c r="N70" s="8">
        <v>1455991845</v>
      </c>
      <c r="O70" s="8">
        <v>1600603590</v>
      </c>
      <c r="P70" s="8">
        <v>1763149785</v>
      </c>
      <c r="Q70" s="8">
        <v>1882000000</v>
      </c>
      <c r="R70" s="8">
        <v>2013000000</v>
      </c>
      <c r="S70" s="8">
        <v>2208000000</v>
      </c>
      <c r="T70" s="8"/>
      <c r="U70" s="8">
        <v>2351000000</v>
      </c>
      <c r="V70" s="8">
        <v>2448000000</v>
      </c>
    </row>
    <row r="71" spans="1:22" x14ac:dyDescent="0.2">
      <c r="A71" s="2" t="s">
        <v>1</v>
      </c>
      <c r="B71" s="21">
        <f>ROUND(316975.5,-3)</f>
        <v>317000</v>
      </c>
      <c r="C71" s="21">
        <f>ROUND(1764485.5,-3)</f>
        <v>1764000</v>
      </c>
      <c r="D71" s="21">
        <f>ROUND(5016936.72,-3)</f>
        <v>5017000</v>
      </c>
      <c r="E71" s="21">
        <f>ROUND(7718003.96,-3)</f>
        <v>7718000</v>
      </c>
      <c r="F71" s="21">
        <f>ROUND(11243635.6,-3)</f>
        <v>11244000</v>
      </c>
      <c r="G71" s="21">
        <f>ROUND(20618141.86,-3)</f>
        <v>20618000</v>
      </c>
      <c r="H71" s="11">
        <v>37309898.880000003</v>
      </c>
      <c r="I71" s="11">
        <f>ROUND(42071808.82,-3)</f>
        <v>42072000</v>
      </c>
      <c r="J71" s="8">
        <v>42948319</v>
      </c>
      <c r="K71" s="8">
        <v>42684631</v>
      </c>
      <c r="L71" s="8">
        <v>42655131</v>
      </c>
      <c r="M71" s="8">
        <v>44974135</v>
      </c>
      <c r="N71" s="8">
        <v>57465722</v>
      </c>
      <c r="O71" s="8">
        <v>78966009</v>
      </c>
      <c r="P71" s="8">
        <v>104838405</v>
      </c>
      <c r="Q71" s="8">
        <v>123563655</v>
      </c>
      <c r="R71" s="8">
        <v>169621994</v>
      </c>
      <c r="S71" s="8">
        <v>214234670</v>
      </c>
      <c r="T71" s="8"/>
      <c r="U71" s="8">
        <v>0</v>
      </c>
      <c r="V71" s="8">
        <v>0</v>
      </c>
    </row>
    <row r="72" spans="1:22" x14ac:dyDescent="0.2">
      <c r="A72" s="2" t="s">
        <v>2</v>
      </c>
      <c r="B72" s="11">
        <v>0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8">
        <v>0</v>
      </c>
      <c r="S72" s="8">
        <v>0</v>
      </c>
      <c r="T72" s="8"/>
      <c r="U72" s="8">
        <v>0</v>
      </c>
      <c r="V72" s="8">
        <v>0</v>
      </c>
    </row>
    <row r="73" spans="1:22" x14ac:dyDescent="0.2">
      <c r="A73" s="2" t="s">
        <v>3</v>
      </c>
      <c r="B73" s="11">
        <v>59880000</v>
      </c>
      <c r="C73" s="11">
        <v>61954000</v>
      </c>
      <c r="D73" s="11">
        <f>ROUND(64457540,-3)</f>
        <v>64458000</v>
      </c>
      <c r="E73" s="11">
        <f>ROUND(77141998,-3)</f>
        <v>77142000</v>
      </c>
      <c r="F73" s="11">
        <f>ROUND(86417951,-3)</f>
        <v>86418000</v>
      </c>
      <c r="G73" s="11">
        <f>ROUND(89406861,-3)</f>
        <v>89407000</v>
      </c>
      <c r="H73" s="11">
        <f>ROUND(92678703,-3)</f>
        <v>92679000</v>
      </c>
      <c r="I73" s="11">
        <f>ROUND(101469515.3,-3)</f>
        <v>101470000</v>
      </c>
      <c r="J73" s="7">
        <v>111090035.2</v>
      </c>
      <c r="K73" s="8">
        <v>106931957</v>
      </c>
      <c r="L73" s="8">
        <v>111663477</v>
      </c>
      <c r="M73" s="8">
        <v>114835365</v>
      </c>
      <c r="N73" s="8">
        <v>109540233</v>
      </c>
      <c r="O73" s="8">
        <v>116022403</v>
      </c>
      <c r="P73" s="8">
        <v>116136109</v>
      </c>
      <c r="Q73" s="8">
        <v>109217000</v>
      </c>
      <c r="R73" s="8">
        <v>104496673</v>
      </c>
      <c r="S73" s="8">
        <v>113532895</v>
      </c>
      <c r="T73" s="8"/>
      <c r="U73" s="8">
        <v>206931229</v>
      </c>
      <c r="V73" s="8">
        <v>238788053</v>
      </c>
    </row>
    <row r="74" spans="1:22" x14ac:dyDescent="0.2">
      <c r="A74" s="2" t="s">
        <v>4</v>
      </c>
      <c r="B74" s="22">
        <v>0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  <c r="H74" s="22">
        <v>0</v>
      </c>
      <c r="I74" s="22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8">
        <v>0</v>
      </c>
      <c r="Q74" s="8">
        <v>0</v>
      </c>
      <c r="R74" s="8">
        <v>0</v>
      </c>
      <c r="S74" s="8">
        <v>0</v>
      </c>
      <c r="T74" s="8"/>
      <c r="U74" s="8">
        <v>0</v>
      </c>
      <c r="V74" s="8">
        <v>0</v>
      </c>
    </row>
    <row r="75" spans="1:22" ht="13.5" x14ac:dyDescent="0.25">
      <c r="A75" s="3" t="s">
        <v>5</v>
      </c>
      <c r="B75" s="14">
        <f t="shared" ref="B75:K75" si="4">SUM(B70:B74)</f>
        <v>323587000</v>
      </c>
      <c r="C75" s="14">
        <f t="shared" si="4"/>
        <v>397324000</v>
      </c>
      <c r="D75" s="14">
        <f t="shared" si="4"/>
        <v>476588000</v>
      </c>
      <c r="E75" s="14">
        <f t="shared" si="4"/>
        <v>558941000</v>
      </c>
      <c r="F75" s="14">
        <f t="shared" si="4"/>
        <v>661106000</v>
      </c>
      <c r="G75" s="14">
        <f t="shared" si="4"/>
        <v>767192000</v>
      </c>
      <c r="H75" s="14">
        <f t="shared" si="4"/>
        <v>882719898.88</v>
      </c>
      <c r="I75" s="14">
        <f t="shared" si="4"/>
        <v>950395000</v>
      </c>
      <c r="J75" s="15">
        <f t="shared" si="4"/>
        <v>1029408799.2</v>
      </c>
      <c r="K75" s="15">
        <f t="shared" si="4"/>
        <v>1186078158</v>
      </c>
      <c r="L75" s="15">
        <f>SUM(L69:L74)</f>
        <v>1443240703</v>
      </c>
      <c r="M75" s="15">
        <f>SUM(M69:M74)</f>
        <v>1601536506</v>
      </c>
      <c r="N75" s="15">
        <f>SUM(N69:N74)</f>
        <v>1728957353</v>
      </c>
      <c r="O75" s="15">
        <f>SUM(O68:O74)</f>
        <v>1938776569</v>
      </c>
      <c r="P75" s="15">
        <f>SUM(P68:P74)</f>
        <v>2137799594</v>
      </c>
      <c r="Q75" s="15">
        <f>SUM(Q68:Q74)</f>
        <v>2290747092</v>
      </c>
      <c r="R75" s="15">
        <f>SUM(R67:R74)</f>
        <v>2488949319</v>
      </c>
      <c r="S75" s="15">
        <f>SUM(S67:S74)</f>
        <v>2743083518</v>
      </c>
      <c r="T75" s="15"/>
      <c r="U75" s="15">
        <f>SUM(U68:U74)</f>
        <v>2737245538</v>
      </c>
      <c r="V75" s="15">
        <f>SUM(V67:V74)</f>
        <v>2889702500</v>
      </c>
    </row>
    <row r="76" spans="1:22" ht="13.5" x14ac:dyDescent="0.25">
      <c r="A76" s="3"/>
    </row>
    <row r="77" spans="1:22" ht="13.5" x14ac:dyDescent="0.25">
      <c r="A77" s="4" t="s">
        <v>46</v>
      </c>
      <c r="U77" s="6"/>
    </row>
    <row r="78" spans="1:22" ht="13.5" x14ac:dyDescent="0.25">
      <c r="A78" s="4"/>
      <c r="U78" s="6" t="s">
        <v>32</v>
      </c>
      <c r="V78" s="6" t="s">
        <v>39</v>
      </c>
    </row>
    <row r="79" spans="1:22" x14ac:dyDescent="0.2">
      <c r="A79" s="2" t="s">
        <v>29</v>
      </c>
      <c r="U79" s="8">
        <v>21631912</v>
      </c>
      <c r="V79" s="8">
        <v>27233241</v>
      </c>
    </row>
    <row r="80" spans="1:22" x14ac:dyDescent="0.2">
      <c r="A80" s="2" t="s">
        <v>26</v>
      </c>
      <c r="U80" s="8">
        <v>18538659</v>
      </c>
      <c r="V80" s="8">
        <v>18554849</v>
      </c>
    </row>
    <row r="81" spans="1:22" x14ac:dyDescent="0.2">
      <c r="A81" s="2" t="s">
        <v>23</v>
      </c>
      <c r="U81" s="8">
        <v>0</v>
      </c>
      <c r="V81" s="8">
        <v>0</v>
      </c>
    </row>
    <row r="82" spans="1:22" x14ac:dyDescent="0.2">
      <c r="A82" s="2" t="s">
        <v>0</v>
      </c>
      <c r="U82" s="8">
        <v>0</v>
      </c>
      <c r="V82" s="8">
        <v>0</v>
      </c>
    </row>
    <row r="83" spans="1:22" x14ac:dyDescent="0.2">
      <c r="A83" s="2" t="s">
        <v>1</v>
      </c>
      <c r="U83" s="8">
        <v>273885596</v>
      </c>
      <c r="V83" s="8">
        <v>322867394</v>
      </c>
    </row>
    <row r="84" spans="1:22" x14ac:dyDescent="0.2">
      <c r="A84" s="2" t="s">
        <v>2</v>
      </c>
      <c r="U84" s="8">
        <v>0</v>
      </c>
      <c r="V84" s="8">
        <v>0</v>
      </c>
    </row>
    <row r="85" spans="1:22" x14ac:dyDescent="0.2">
      <c r="A85" s="2" t="s">
        <v>33</v>
      </c>
      <c r="U85" s="8">
        <v>24000000</v>
      </c>
      <c r="V85" s="8">
        <v>24000000</v>
      </c>
    </row>
    <row r="86" spans="1:22" x14ac:dyDescent="0.2">
      <c r="A86" s="2" t="s">
        <v>4</v>
      </c>
      <c r="U86" s="8">
        <v>0</v>
      </c>
      <c r="V86" s="8">
        <v>0</v>
      </c>
    </row>
    <row r="87" spans="1:22" ht="13.5" x14ac:dyDescent="0.25">
      <c r="A87" s="3" t="s">
        <v>5</v>
      </c>
      <c r="U87" s="15">
        <f>SUM(U79:U86)</f>
        <v>338056167</v>
      </c>
      <c r="V87" s="15">
        <f>SUM(V79:V86)</f>
        <v>392655484</v>
      </c>
    </row>
    <row r="88" spans="1:22" s="3" customFormat="1" ht="13.5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spans="1:22" ht="13.5" x14ac:dyDescent="0.25">
      <c r="A89" s="4" t="s">
        <v>47</v>
      </c>
    </row>
    <row r="90" spans="1:22" ht="13.5" x14ac:dyDescent="0.25">
      <c r="B90" s="5" t="s">
        <v>7</v>
      </c>
      <c r="C90" s="5" t="s">
        <v>8</v>
      </c>
      <c r="D90" s="5" t="s">
        <v>9</v>
      </c>
      <c r="E90" s="5" t="s">
        <v>10</v>
      </c>
      <c r="F90" s="5" t="s">
        <v>11</v>
      </c>
      <c r="G90" s="5" t="s">
        <v>12</v>
      </c>
      <c r="H90" s="6" t="s">
        <v>13</v>
      </c>
      <c r="I90" s="5" t="s">
        <v>16</v>
      </c>
      <c r="J90" s="5" t="s">
        <v>17</v>
      </c>
      <c r="K90" s="5" t="s">
        <v>21</v>
      </c>
      <c r="L90" s="6" t="s">
        <v>22</v>
      </c>
      <c r="M90" s="6" t="s">
        <v>24</v>
      </c>
      <c r="N90" s="6" t="s">
        <v>25</v>
      </c>
      <c r="O90" s="6" t="s">
        <v>21</v>
      </c>
      <c r="P90" s="6" t="s">
        <v>27</v>
      </c>
      <c r="Q90" s="6" t="s">
        <v>28</v>
      </c>
      <c r="R90" s="6" t="s">
        <v>30</v>
      </c>
      <c r="S90" s="6" t="s">
        <v>31</v>
      </c>
      <c r="T90" s="6"/>
      <c r="U90" s="6" t="s">
        <v>32</v>
      </c>
      <c r="V90" s="6" t="s">
        <v>39</v>
      </c>
    </row>
    <row r="91" spans="1:22" ht="13.5" x14ac:dyDescent="0.25">
      <c r="A91" s="2" t="s">
        <v>29</v>
      </c>
      <c r="B91" s="5"/>
      <c r="C91" s="5"/>
      <c r="D91" s="5"/>
      <c r="E91" s="5"/>
      <c r="F91" s="5"/>
      <c r="G91" s="5"/>
      <c r="H91" s="6"/>
      <c r="I91" s="5"/>
      <c r="J91" s="5"/>
      <c r="K91" s="5"/>
      <c r="L91" s="6"/>
      <c r="M91" s="6"/>
      <c r="N91" s="6"/>
      <c r="O91" s="6"/>
      <c r="P91" s="6"/>
      <c r="Q91" s="6"/>
      <c r="R91" s="9">
        <v>0</v>
      </c>
      <c r="S91" s="8">
        <v>0</v>
      </c>
      <c r="T91" s="8"/>
      <c r="U91" s="8">
        <v>0</v>
      </c>
      <c r="V91" s="8">
        <v>0</v>
      </c>
    </row>
    <row r="92" spans="1:22" ht="13.5" x14ac:dyDescent="0.25">
      <c r="A92" s="2" t="s">
        <v>26</v>
      </c>
      <c r="B92" s="5"/>
      <c r="C92" s="5"/>
      <c r="D92" s="5"/>
      <c r="E92" s="5"/>
      <c r="F92" s="5"/>
      <c r="G92" s="5"/>
      <c r="H92" s="6"/>
      <c r="I92" s="5"/>
      <c r="J92" s="5"/>
      <c r="K92" s="5"/>
      <c r="L92" s="6"/>
      <c r="M92" s="6"/>
      <c r="N92" s="6"/>
      <c r="O92" s="9">
        <v>0</v>
      </c>
      <c r="P92" s="8">
        <v>0</v>
      </c>
      <c r="Q92" s="8">
        <v>0</v>
      </c>
      <c r="R92" s="8">
        <v>0</v>
      </c>
      <c r="S92" s="8">
        <v>0</v>
      </c>
      <c r="T92" s="8"/>
      <c r="U92" s="8">
        <v>0</v>
      </c>
      <c r="V92" s="8">
        <v>0</v>
      </c>
    </row>
    <row r="93" spans="1:22" ht="13.5" x14ac:dyDescent="0.25">
      <c r="A93" s="2" t="s">
        <v>23</v>
      </c>
      <c r="B93" s="5"/>
      <c r="C93" s="5"/>
      <c r="D93" s="5"/>
      <c r="E93" s="5"/>
      <c r="F93" s="5"/>
      <c r="G93" s="5"/>
      <c r="H93" s="6"/>
      <c r="I93" s="5"/>
      <c r="J93" s="5"/>
      <c r="K93" s="5"/>
      <c r="L93" s="9">
        <v>0</v>
      </c>
      <c r="M93" s="8">
        <v>0</v>
      </c>
      <c r="N93" s="8">
        <v>0</v>
      </c>
      <c r="O93" s="8">
        <v>0</v>
      </c>
      <c r="P93" s="8">
        <v>0</v>
      </c>
      <c r="Q93" s="8">
        <v>0</v>
      </c>
      <c r="R93" s="8">
        <v>0</v>
      </c>
      <c r="S93" s="8">
        <v>0</v>
      </c>
      <c r="T93" s="8"/>
      <c r="U93" s="8">
        <v>0</v>
      </c>
      <c r="V93" s="8">
        <v>0</v>
      </c>
    </row>
    <row r="94" spans="1:22" x14ac:dyDescent="0.2">
      <c r="A94" s="2" t="s">
        <v>0</v>
      </c>
      <c r="B94" s="11">
        <v>0</v>
      </c>
      <c r="C94" s="11">
        <v>0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  <c r="O94" s="8">
        <v>0</v>
      </c>
      <c r="P94" s="8">
        <v>0</v>
      </c>
      <c r="Q94" s="8">
        <v>0</v>
      </c>
      <c r="R94" s="8">
        <v>0</v>
      </c>
      <c r="S94" s="8">
        <v>0</v>
      </c>
      <c r="T94" s="8"/>
      <c r="U94" s="8">
        <v>0</v>
      </c>
      <c r="V94" s="8">
        <v>0</v>
      </c>
    </row>
    <row r="95" spans="1:22" x14ac:dyDescent="0.2">
      <c r="A95" s="2" t="s">
        <v>1</v>
      </c>
      <c r="B95" s="11">
        <v>0</v>
      </c>
      <c r="C95" s="11">
        <v>0</v>
      </c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8">
        <v>0</v>
      </c>
      <c r="P95" s="8">
        <v>0</v>
      </c>
      <c r="Q95" s="8">
        <v>0</v>
      </c>
      <c r="R95" s="8">
        <v>0</v>
      </c>
      <c r="S95" s="8">
        <v>0</v>
      </c>
      <c r="T95" s="8"/>
      <c r="U95" s="8">
        <v>0</v>
      </c>
      <c r="V95" s="8">
        <v>0</v>
      </c>
    </row>
    <row r="96" spans="1:22" x14ac:dyDescent="0.2">
      <c r="A96" s="2" t="s">
        <v>2</v>
      </c>
      <c r="B96" s="11">
        <v>1750000</v>
      </c>
      <c r="C96" s="11">
        <v>4142000</v>
      </c>
      <c r="D96" s="11">
        <v>5493000</v>
      </c>
      <c r="E96" s="11">
        <v>8085000</v>
      </c>
      <c r="F96" s="11">
        <v>10989000</v>
      </c>
      <c r="G96" s="11">
        <v>13774000</v>
      </c>
      <c r="H96" s="11">
        <v>18058000</v>
      </c>
      <c r="I96" s="20">
        <f>ROUND(20577439,-3)</f>
        <v>20577000</v>
      </c>
      <c r="J96" s="8">
        <v>22706237</v>
      </c>
      <c r="K96" s="8">
        <v>24085339</v>
      </c>
      <c r="L96" s="8">
        <v>30254475</v>
      </c>
      <c r="M96" s="8">
        <v>35970502</v>
      </c>
      <c r="N96" s="8">
        <v>44313684</v>
      </c>
      <c r="O96" s="8">
        <v>50270958</v>
      </c>
      <c r="P96" s="8">
        <v>59411210</v>
      </c>
      <c r="Q96" s="8">
        <v>68200255</v>
      </c>
      <c r="R96" s="8">
        <v>75463743</v>
      </c>
      <c r="S96" s="8">
        <v>78913995</v>
      </c>
      <c r="T96" s="8"/>
      <c r="U96" s="8">
        <v>84972758</v>
      </c>
      <c r="V96" s="8">
        <v>92080073</v>
      </c>
    </row>
    <row r="97" spans="1:22" x14ac:dyDescent="0.2">
      <c r="A97" s="2" t="s">
        <v>3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  <c r="O97" s="8">
        <v>0</v>
      </c>
      <c r="P97" s="8">
        <v>0</v>
      </c>
      <c r="Q97" s="8">
        <v>0</v>
      </c>
      <c r="R97" s="8">
        <v>0</v>
      </c>
      <c r="S97" s="8">
        <v>0</v>
      </c>
      <c r="T97" s="8"/>
      <c r="U97" s="8">
        <v>0</v>
      </c>
      <c r="V97" s="8">
        <v>0</v>
      </c>
    </row>
    <row r="98" spans="1:22" x14ac:dyDescent="0.2">
      <c r="A98" s="2" t="s">
        <v>4</v>
      </c>
      <c r="B98" s="13">
        <f>ROUND(299358343,-3)</f>
        <v>299358000</v>
      </c>
      <c r="C98" s="13">
        <f>ROUND(332884665.030564,-3)</f>
        <v>332885000</v>
      </c>
      <c r="D98" s="13">
        <f>ROUND(371218039.557394,-3)</f>
        <v>371218000</v>
      </c>
      <c r="E98" s="13">
        <f>ROUND(448309328.91031,-3)</f>
        <v>448309000</v>
      </c>
      <c r="F98" s="13">
        <f>ROUND(544725590,-3)</f>
        <v>544726000</v>
      </c>
      <c r="G98" s="13">
        <f>ROUND(625447336.961814,-3)</f>
        <v>625447000</v>
      </c>
      <c r="H98" s="13">
        <f>ROUND(699667830,-3)</f>
        <v>699668000</v>
      </c>
      <c r="I98" s="11">
        <f>ROUND(753361552,-3)</f>
        <v>753362000</v>
      </c>
      <c r="J98" s="8">
        <v>817191537</v>
      </c>
      <c r="K98" s="8">
        <v>894270333</v>
      </c>
      <c r="L98" s="8">
        <v>996549231</v>
      </c>
      <c r="M98" s="8">
        <v>1078754748</v>
      </c>
      <c r="N98" s="8">
        <v>1159502653</v>
      </c>
      <c r="O98" s="8">
        <v>1236771247</v>
      </c>
      <c r="P98" s="8">
        <v>1300854625</v>
      </c>
      <c r="Q98" s="8">
        <v>1352880844</v>
      </c>
      <c r="R98" s="8">
        <v>1392472696</v>
      </c>
      <c r="S98" s="8">
        <v>1445977711</v>
      </c>
      <c r="T98" s="8"/>
      <c r="U98" s="8">
        <v>1513192073</v>
      </c>
      <c r="V98" s="8">
        <v>1570976771</v>
      </c>
    </row>
    <row r="99" spans="1:22" ht="13.5" x14ac:dyDescent="0.25">
      <c r="A99" s="3" t="s">
        <v>5</v>
      </c>
      <c r="B99" s="14">
        <f t="shared" ref="B99:K99" si="5">SUM(B94:B98)</f>
        <v>301108000</v>
      </c>
      <c r="C99" s="14">
        <f t="shared" si="5"/>
        <v>337027000</v>
      </c>
      <c r="D99" s="14">
        <f t="shared" si="5"/>
        <v>376711000</v>
      </c>
      <c r="E99" s="14">
        <f t="shared" si="5"/>
        <v>456394000</v>
      </c>
      <c r="F99" s="14">
        <f t="shared" si="5"/>
        <v>555715000</v>
      </c>
      <c r="G99" s="14">
        <f t="shared" si="5"/>
        <v>639221000</v>
      </c>
      <c r="H99" s="14">
        <f t="shared" si="5"/>
        <v>717726000</v>
      </c>
      <c r="I99" s="14">
        <f t="shared" si="5"/>
        <v>773939000</v>
      </c>
      <c r="J99" s="15">
        <f t="shared" si="5"/>
        <v>839897774</v>
      </c>
      <c r="K99" s="15">
        <f t="shared" si="5"/>
        <v>918355672</v>
      </c>
      <c r="L99" s="15">
        <f>SUM(L93:L98)</f>
        <v>1026803706</v>
      </c>
      <c r="M99" s="15">
        <f>SUM(M93:M98)</f>
        <v>1114725250</v>
      </c>
      <c r="N99" s="15">
        <f>SUM(N93:N98)</f>
        <v>1203816337</v>
      </c>
      <c r="O99" s="15">
        <f>SUM(O92:O98)</f>
        <v>1287042205</v>
      </c>
      <c r="P99" s="15">
        <f>SUM(P92:P98)</f>
        <v>1360265835</v>
      </c>
      <c r="Q99" s="15">
        <f>SUM(Q92:Q98)</f>
        <v>1421081099</v>
      </c>
      <c r="R99" s="15">
        <f>SUM(R91:R98)</f>
        <v>1467936439</v>
      </c>
      <c r="S99" s="15">
        <f>SUM(S96:S98)</f>
        <v>1524891706</v>
      </c>
      <c r="T99" s="15"/>
      <c r="U99" s="15">
        <f>SUM(U91:U98)</f>
        <v>1598164831</v>
      </c>
      <c r="V99" s="15">
        <f>SUM(V91:V98)</f>
        <v>1663056844</v>
      </c>
    </row>
    <row r="100" spans="1:22" ht="13.5" x14ac:dyDescent="0.25">
      <c r="A100" s="3"/>
    </row>
    <row r="101" spans="1:22" ht="13.5" x14ac:dyDescent="0.25">
      <c r="A101" s="3"/>
    </row>
    <row r="102" spans="1:22" s="3" customFormat="1" ht="13.5" x14ac:dyDescent="0.25">
      <c r="A102" s="4" t="s">
        <v>48</v>
      </c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</row>
    <row r="103" spans="1:22" ht="13.5" x14ac:dyDescent="0.25">
      <c r="B103" s="5" t="s">
        <v>7</v>
      </c>
      <c r="C103" s="5" t="s">
        <v>8</v>
      </c>
      <c r="D103" s="5" t="s">
        <v>9</v>
      </c>
      <c r="E103" s="5" t="s">
        <v>10</v>
      </c>
      <c r="F103" s="5" t="s">
        <v>11</v>
      </c>
      <c r="G103" s="5" t="s">
        <v>12</v>
      </c>
      <c r="H103" s="6" t="s">
        <v>13</v>
      </c>
      <c r="I103" s="5" t="s">
        <v>16</v>
      </c>
      <c r="J103" s="5" t="s">
        <v>17</v>
      </c>
      <c r="K103" s="5" t="s">
        <v>19</v>
      </c>
      <c r="L103" s="6" t="s">
        <v>22</v>
      </c>
      <c r="M103" s="6" t="s">
        <v>24</v>
      </c>
      <c r="N103" s="6" t="s">
        <v>25</v>
      </c>
      <c r="O103" s="6" t="s">
        <v>21</v>
      </c>
      <c r="P103" s="6" t="s">
        <v>27</v>
      </c>
      <c r="Q103" s="6" t="s">
        <v>28</v>
      </c>
      <c r="R103" s="6" t="s">
        <v>30</v>
      </c>
      <c r="S103" s="6" t="s">
        <v>31</v>
      </c>
      <c r="T103" s="6"/>
      <c r="U103" s="6" t="s">
        <v>32</v>
      </c>
      <c r="V103" s="6" t="s">
        <v>39</v>
      </c>
    </row>
    <row r="104" spans="1:22" ht="13.5" x14ac:dyDescent="0.25">
      <c r="A104" s="2" t="s">
        <v>29</v>
      </c>
      <c r="B104" s="5"/>
      <c r="C104" s="5"/>
      <c r="D104" s="5"/>
      <c r="E104" s="5"/>
      <c r="F104" s="5"/>
      <c r="G104" s="5"/>
      <c r="H104" s="6"/>
      <c r="I104" s="5"/>
      <c r="J104" s="5"/>
      <c r="K104" s="5"/>
      <c r="L104" s="6"/>
      <c r="M104" s="6"/>
      <c r="N104" s="6"/>
      <c r="O104" s="6"/>
      <c r="P104" s="6"/>
      <c r="Q104" s="6"/>
      <c r="R104" s="9">
        <v>6655187</v>
      </c>
      <c r="S104" s="8">
        <v>4114200</v>
      </c>
      <c r="T104" s="8"/>
      <c r="U104" s="8">
        <v>6825081</v>
      </c>
      <c r="V104" s="8">
        <v>6628788</v>
      </c>
    </row>
    <row r="105" spans="1:22" ht="13.5" x14ac:dyDescent="0.25">
      <c r="A105" s="2" t="s">
        <v>26</v>
      </c>
      <c r="B105" s="5"/>
      <c r="C105" s="5"/>
      <c r="D105" s="5"/>
      <c r="E105" s="5"/>
      <c r="F105" s="5"/>
      <c r="G105" s="5"/>
      <c r="H105" s="6"/>
      <c r="I105" s="5"/>
      <c r="J105" s="5"/>
      <c r="K105" s="5"/>
      <c r="L105" s="6"/>
      <c r="M105" s="6"/>
      <c r="N105" s="6"/>
      <c r="O105" s="9">
        <v>5221049</v>
      </c>
      <c r="P105" s="8">
        <v>3143015</v>
      </c>
      <c r="Q105" s="8">
        <v>8897460</v>
      </c>
      <c r="R105" s="8">
        <v>4642833</v>
      </c>
      <c r="S105" s="8">
        <v>3055222</v>
      </c>
      <c r="T105" s="8"/>
      <c r="U105" s="8">
        <v>1543943</v>
      </c>
      <c r="V105" s="8">
        <v>1514975</v>
      </c>
    </row>
    <row r="106" spans="1:22" ht="13.5" x14ac:dyDescent="0.25">
      <c r="A106" s="2" t="s">
        <v>23</v>
      </c>
      <c r="B106" s="5"/>
      <c r="C106" s="5"/>
      <c r="D106" s="5"/>
      <c r="E106" s="5"/>
      <c r="F106" s="5"/>
      <c r="G106" s="5"/>
      <c r="H106" s="6"/>
      <c r="I106" s="5"/>
      <c r="J106" s="5"/>
      <c r="K106" s="5"/>
      <c r="L106" s="9">
        <v>4688000</v>
      </c>
      <c r="M106" s="8">
        <v>22064502</v>
      </c>
      <c r="N106" s="8">
        <v>13742001</v>
      </c>
      <c r="O106" s="8">
        <v>17868000</v>
      </c>
      <c r="P106" s="8">
        <v>19472000</v>
      </c>
      <c r="Q106" s="8">
        <v>22051500</v>
      </c>
      <c r="R106" s="8">
        <v>16831000</v>
      </c>
      <c r="S106" s="8">
        <v>13730000</v>
      </c>
      <c r="T106" s="8"/>
      <c r="U106" s="8">
        <v>12019000</v>
      </c>
      <c r="V106" s="8">
        <v>15325000</v>
      </c>
    </row>
    <row r="107" spans="1:22" x14ac:dyDescent="0.2">
      <c r="A107" s="23" t="s">
        <v>0</v>
      </c>
      <c r="B107" s="10">
        <f>ROUND(72808460,-3)</f>
        <v>72808000</v>
      </c>
      <c r="C107" s="10">
        <f>ROUND(98504400,-3)</f>
        <v>98504000</v>
      </c>
      <c r="D107" s="10">
        <f>ROUND(109801400,-3)</f>
        <v>109801000</v>
      </c>
      <c r="E107" s="10">
        <f>ROUND(111788220,-3)</f>
        <v>111788000</v>
      </c>
      <c r="F107" s="10">
        <f>ROUND(146058160,-3)</f>
        <v>146058000</v>
      </c>
      <c r="G107" s="10">
        <f>ROUND(162937380,-3)</f>
        <v>162937000</v>
      </c>
      <c r="H107" s="10">
        <f>ROUND(182562520,-3)</f>
        <v>182563000</v>
      </c>
      <c r="I107" s="10">
        <f>ROUND(151802780,-3)</f>
        <v>151803000</v>
      </c>
      <c r="J107" s="8">
        <v>182854080</v>
      </c>
      <c r="K107" s="8">
        <v>305970285</v>
      </c>
      <c r="L107" s="8">
        <v>328059862</v>
      </c>
      <c r="M107" s="8">
        <v>297283336</v>
      </c>
      <c r="N107" s="8">
        <v>291616919</v>
      </c>
      <c r="O107" s="8">
        <v>346553621</v>
      </c>
      <c r="P107" s="8">
        <v>354704781</v>
      </c>
      <c r="Q107" s="8">
        <v>357000000</v>
      </c>
      <c r="R107" s="8">
        <v>377000000</v>
      </c>
      <c r="S107" s="8">
        <v>441000000</v>
      </c>
      <c r="T107" s="8"/>
      <c r="U107" s="8">
        <v>419000000</v>
      </c>
      <c r="V107" s="8">
        <v>379000000</v>
      </c>
    </row>
    <row r="108" spans="1:22" x14ac:dyDescent="0.2">
      <c r="A108" s="23" t="s">
        <v>1</v>
      </c>
      <c r="B108" s="10">
        <f>ROUND(316975.5,-3)</f>
        <v>317000</v>
      </c>
      <c r="C108" s="10">
        <f>ROUND(1447510,-3)</f>
        <v>1448000</v>
      </c>
      <c r="D108" s="10">
        <f>ROUND(3252451.22,-3)</f>
        <v>3252000</v>
      </c>
      <c r="E108" s="10">
        <f>ROUND(2701067.24,-3)</f>
        <v>2701000</v>
      </c>
      <c r="F108" s="10">
        <f>ROUND(3525631.64,-3)</f>
        <v>3526000</v>
      </c>
      <c r="G108" s="10">
        <f>ROUND(9378076.25,-3)</f>
        <v>9378000</v>
      </c>
      <c r="H108" s="10">
        <v>16696687.02</v>
      </c>
      <c r="I108" s="10">
        <f>ROUND(5347099.94,-3)</f>
        <v>5347000</v>
      </c>
      <c r="J108" s="8">
        <v>282820</v>
      </c>
      <c r="K108" s="8">
        <v>193800</v>
      </c>
      <c r="L108" s="8">
        <v>833300</v>
      </c>
      <c r="M108" s="8">
        <v>2540305</v>
      </c>
      <c r="N108" s="8">
        <v>13046099</v>
      </c>
      <c r="O108" s="8">
        <v>23065492</v>
      </c>
      <c r="P108" s="8">
        <v>26817702</v>
      </c>
      <c r="Q108" s="8">
        <v>24326804</v>
      </c>
      <c r="R108" s="8">
        <v>49119976</v>
      </c>
      <c r="S108" s="8">
        <v>49016194</v>
      </c>
      <c r="T108" s="8"/>
      <c r="U108" s="8">
        <v>62470616</v>
      </c>
      <c r="V108" s="8">
        <v>51229014</v>
      </c>
    </row>
    <row r="109" spans="1:22" x14ac:dyDescent="0.2">
      <c r="A109" s="23" t="s">
        <v>2</v>
      </c>
      <c r="B109" s="11">
        <v>868000</v>
      </c>
      <c r="C109" s="11">
        <v>2701000</v>
      </c>
      <c r="D109" s="11">
        <v>1996000</v>
      </c>
      <c r="E109" s="11">
        <v>3646000</v>
      </c>
      <c r="F109" s="11">
        <v>3999000</v>
      </c>
      <c r="G109" s="11">
        <v>4470000</v>
      </c>
      <c r="H109" s="11">
        <v>6318000</v>
      </c>
      <c r="I109" s="10">
        <f>ROUND(4866281,-3)</f>
        <v>4866000</v>
      </c>
      <c r="J109" s="8">
        <v>3677059</v>
      </c>
      <c r="K109" s="8">
        <v>4441087</v>
      </c>
      <c r="L109" s="8">
        <v>9496636</v>
      </c>
      <c r="M109" s="8">
        <v>9581865</v>
      </c>
      <c r="N109" s="8">
        <v>13258166</v>
      </c>
      <c r="O109" s="8">
        <v>11483967</v>
      </c>
      <c r="P109" s="8">
        <v>15578646</v>
      </c>
      <c r="Q109" s="8">
        <v>16886314</v>
      </c>
      <c r="R109" s="8">
        <v>16203872</v>
      </c>
      <c r="S109" s="8">
        <v>13213099</v>
      </c>
      <c r="T109" s="8"/>
      <c r="U109" s="8">
        <v>16879149</v>
      </c>
      <c r="V109" s="8">
        <v>19331835</v>
      </c>
    </row>
    <row r="110" spans="1:22" x14ac:dyDescent="0.2">
      <c r="A110" s="23" t="s">
        <v>3</v>
      </c>
      <c r="B110" s="11">
        <v>8506000</v>
      </c>
      <c r="C110" s="11">
        <v>10714000</v>
      </c>
      <c r="D110" s="11">
        <v>11575000</v>
      </c>
      <c r="E110" s="11">
        <v>15766000</v>
      </c>
      <c r="F110" s="11">
        <v>14118000</v>
      </c>
      <c r="G110" s="11">
        <v>15775000</v>
      </c>
      <c r="H110" s="11">
        <v>15435000</v>
      </c>
      <c r="I110" s="11">
        <v>21725000</v>
      </c>
      <c r="J110" s="8">
        <v>13207000</v>
      </c>
      <c r="K110" s="8">
        <v>14539000</v>
      </c>
      <c r="L110" s="8">
        <v>15535000</v>
      </c>
      <c r="M110" s="8">
        <v>15559000</v>
      </c>
      <c r="N110" s="8">
        <v>12415000</v>
      </c>
      <c r="O110" s="8">
        <v>14127000</v>
      </c>
      <c r="P110" s="8">
        <v>11092000</v>
      </c>
      <c r="Q110" s="8">
        <v>8224000</v>
      </c>
      <c r="R110" s="8">
        <v>5693000</v>
      </c>
      <c r="S110" s="8">
        <v>15862000</v>
      </c>
      <c r="T110" s="8"/>
      <c r="U110" s="8">
        <v>57885000</v>
      </c>
      <c r="V110" s="8">
        <v>48188000</v>
      </c>
    </row>
    <row r="111" spans="1:22" x14ac:dyDescent="0.2">
      <c r="A111" s="23" t="s">
        <v>4</v>
      </c>
      <c r="B111" s="13">
        <f>ROUND(66608230,-3)</f>
        <v>66608000</v>
      </c>
      <c r="C111" s="13">
        <f>ROUND(73918110,-3)</f>
        <v>73918000</v>
      </c>
      <c r="D111" s="13">
        <f>ROUND(84473180,-3)</f>
        <v>84473000</v>
      </c>
      <c r="E111" s="13">
        <f>ROUND(131461420,-3)</f>
        <v>131461000</v>
      </c>
      <c r="F111" s="13">
        <f>ROUND(160623720,-3)</f>
        <v>160624000</v>
      </c>
      <c r="G111" s="13">
        <f>ROUND(155585117,-3)</f>
        <v>155585000</v>
      </c>
      <c r="H111" s="13">
        <f>ROUND(164602110,-3)</f>
        <v>164602000</v>
      </c>
      <c r="I111" s="11">
        <f>ROUND(154556843,-3)</f>
        <v>154557000</v>
      </c>
      <c r="J111" s="12">
        <v>175712870</v>
      </c>
      <c r="K111" s="8">
        <v>194398800</v>
      </c>
      <c r="L111" s="8">
        <v>246478170</v>
      </c>
      <c r="M111" s="8">
        <v>236695950</v>
      </c>
      <c r="N111" s="8">
        <v>247619247</v>
      </c>
      <c r="O111" s="8">
        <v>254268598</v>
      </c>
      <c r="P111" s="8">
        <v>253482572</v>
      </c>
      <c r="Q111" s="8">
        <v>253584994</v>
      </c>
      <c r="R111" s="8">
        <v>244833161</v>
      </c>
      <c r="S111" s="8">
        <v>269266570</v>
      </c>
      <c r="T111" s="8"/>
      <c r="U111" s="8">
        <v>290161420</v>
      </c>
      <c r="V111" s="8">
        <v>292822344</v>
      </c>
    </row>
    <row r="112" spans="1:22" ht="13.5" x14ac:dyDescent="0.25">
      <c r="A112" s="18" t="s">
        <v>6</v>
      </c>
      <c r="B112" s="14">
        <f t="shared" ref="B112:K112" si="6">SUM(B107:B111)</f>
        <v>149107000</v>
      </c>
      <c r="C112" s="14">
        <f t="shared" si="6"/>
        <v>187285000</v>
      </c>
      <c r="D112" s="14">
        <f t="shared" si="6"/>
        <v>211097000</v>
      </c>
      <c r="E112" s="14">
        <f t="shared" si="6"/>
        <v>265362000</v>
      </c>
      <c r="F112" s="14">
        <f t="shared" si="6"/>
        <v>328325000</v>
      </c>
      <c r="G112" s="14">
        <f t="shared" si="6"/>
        <v>348145000</v>
      </c>
      <c r="H112" s="14">
        <f t="shared" si="6"/>
        <v>385614687.01999998</v>
      </c>
      <c r="I112" s="14">
        <f t="shared" si="6"/>
        <v>338298000</v>
      </c>
      <c r="J112" s="15">
        <f t="shared" si="6"/>
        <v>375733829</v>
      </c>
      <c r="K112" s="15">
        <f t="shared" si="6"/>
        <v>519542972</v>
      </c>
      <c r="L112" s="15">
        <f>SUM(L106:L111)</f>
        <v>605090968</v>
      </c>
      <c r="M112" s="15">
        <f>SUM(M106:M111)</f>
        <v>583724958</v>
      </c>
      <c r="N112" s="15">
        <f>SUM(N106:N111)</f>
        <v>591697432</v>
      </c>
      <c r="O112" s="15">
        <f>SUM(O105:O111)</f>
        <v>672587727</v>
      </c>
      <c r="P112" s="15">
        <f>SUM(P105:P111)</f>
        <v>684290716</v>
      </c>
      <c r="Q112" s="15">
        <f>SUM(Q105:Q111)</f>
        <v>690971072</v>
      </c>
      <c r="R112" s="15">
        <f>SUM(R104:R111)</f>
        <v>720979029</v>
      </c>
      <c r="S112" s="15">
        <f>SUM(S104:S111)</f>
        <v>809257285</v>
      </c>
      <c r="T112" s="15"/>
      <c r="U112" s="15">
        <f>SUM(U104:U111)</f>
        <v>866784209</v>
      </c>
      <c r="V112" s="15">
        <f>SUM(V104:V111)</f>
        <v>814039956</v>
      </c>
    </row>
    <row r="113" spans="1:22" ht="5.0999999999999996" customHeight="1" x14ac:dyDescent="0.25">
      <c r="A113" s="18"/>
      <c r="C113" s="11"/>
      <c r="D113" s="11"/>
      <c r="E113" s="11"/>
      <c r="F113" s="11"/>
      <c r="G113" s="11"/>
      <c r="H113" s="11"/>
    </row>
    <row r="115" spans="1:22" s="3" customFormat="1" ht="13.5" x14ac:dyDescent="0.25">
      <c r="A115" s="4" t="s">
        <v>49</v>
      </c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</row>
    <row r="116" spans="1:22" s="3" customFormat="1" ht="13.5" x14ac:dyDescent="0.25">
      <c r="A116" s="4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</row>
    <row r="117" spans="1:22" ht="13.5" x14ac:dyDescent="0.25">
      <c r="B117" s="5" t="s">
        <v>7</v>
      </c>
      <c r="C117" s="5" t="s">
        <v>8</v>
      </c>
      <c r="D117" s="5" t="s">
        <v>9</v>
      </c>
      <c r="E117" s="5" t="s">
        <v>10</v>
      </c>
      <c r="F117" s="5" t="s">
        <v>11</v>
      </c>
      <c r="G117" s="5" t="s">
        <v>12</v>
      </c>
      <c r="H117" s="6" t="s">
        <v>13</v>
      </c>
      <c r="I117" s="5" t="s">
        <v>16</v>
      </c>
      <c r="J117" s="5" t="s">
        <v>17</v>
      </c>
      <c r="K117" s="5" t="s">
        <v>19</v>
      </c>
      <c r="L117" s="6" t="s">
        <v>22</v>
      </c>
      <c r="M117" s="6" t="s">
        <v>24</v>
      </c>
      <c r="N117" s="6" t="s">
        <v>25</v>
      </c>
      <c r="O117" s="6" t="s">
        <v>21</v>
      </c>
      <c r="P117" s="6" t="s">
        <v>27</v>
      </c>
      <c r="Q117" s="6" t="s">
        <v>28</v>
      </c>
      <c r="R117" s="6" t="s">
        <v>30</v>
      </c>
      <c r="S117" s="6" t="s">
        <v>31</v>
      </c>
      <c r="T117" s="6"/>
      <c r="U117" s="6" t="s">
        <v>32</v>
      </c>
      <c r="V117" s="6" t="s">
        <v>39</v>
      </c>
    </row>
    <row r="118" spans="1:22" ht="13.5" x14ac:dyDescent="0.25">
      <c r="A118" s="2" t="s">
        <v>29</v>
      </c>
      <c r="B118" s="5"/>
      <c r="C118" s="5"/>
      <c r="D118" s="5"/>
      <c r="E118" s="5"/>
      <c r="F118" s="5"/>
      <c r="G118" s="5"/>
      <c r="H118" s="6"/>
      <c r="I118" s="5"/>
      <c r="J118" s="5"/>
      <c r="K118" s="5"/>
      <c r="L118" s="6"/>
      <c r="M118" s="6"/>
      <c r="N118" s="6"/>
      <c r="O118" s="6"/>
      <c r="P118" s="6"/>
      <c r="Q118" s="6"/>
      <c r="R118" s="9">
        <v>6655187</v>
      </c>
      <c r="S118" s="8">
        <v>4114200</v>
      </c>
      <c r="T118" s="8"/>
      <c r="U118" s="8">
        <v>0</v>
      </c>
      <c r="V118" s="8">
        <v>0</v>
      </c>
    </row>
    <row r="119" spans="1:22" ht="13.5" x14ac:dyDescent="0.25">
      <c r="A119" s="2" t="s">
        <v>26</v>
      </c>
      <c r="B119" s="5"/>
      <c r="C119" s="5"/>
      <c r="D119" s="5"/>
      <c r="E119" s="5"/>
      <c r="F119" s="5"/>
      <c r="G119" s="5"/>
      <c r="H119" s="6"/>
      <c r="I119" s="5"/>
      <c r="J119" s="5"/>
      <c r="K119" s="5"/>
      <c r="L119" s="6"/>
      <c r="M119" s="6"/>
      <c r="N119" s="6"/>
      <c r="O119" s="9">
        <v>5221049</v>
      </c>
      <c r="P119" s="8">
        <v>3143015</v>
      </c>
      <c r="Q119" s="8">
        <v>8897460</v>
      </c>
      <c r="R119" s="8">
        <v>4642833</v>
      </c>
      <c r="S119" s="8">
        <v>3055222</v>
      </c>
      <c r="T119" s="8"/>
      <c r="U119" s="8">
        <v>345348</v>
      </c>
      <c r="V119" s="8">
        <v>1514975</v>
      </c>
    </row>
    <row r="120" spans="1:22" ht="13.5" x14ac:dyDescent="0.25">
      <c r="A120" s="2" t="s">
        <v>23</v>
      </c>
      <c r="B120" s="5"/>
      <c r="C120" s="5"/>
      <c r="D120" s="5"/>
      <c r="E120" s="5"/>
      <c r="F120" s="5"/>
      <c r="G120" s="5"/>
      <c r="H120" s="6"/>
      <c r="I120" s="5"/>
      <c r="J120" s="5"/>
      <c r="K120" s="5"/>
      <c r="L120" s="9">
        <v>4688000</v>
      </c>
      <c r="M120" s="8">
        <v>22064502</v>
      </c>
      <c r="N120" s="8">
        <v>13742001</v>
      </c>
      <c r="O120" s="8">
        <v>17868000</v>
      </c>
      <c r="P120" s="8">
        <v>19472000</v>
      </c>
      <c r="Q120" s="8">
        <v>22051500</v>
      </c>
      <c r="R120" s="8">
        <v>16831000</v>
      </c>
      <c r="S120" s="8">
        <v>13730000</v>
      </c>
      <c r="T120" s="8"/>
      <c r="U120" s="8">
        <v>12019000</v>
      </c>
      <c r="V120" s="8">
        <v>15325000</v>
      </c>
    </row>
    <row r="121" spans="1:22" x14ac:dyDescent="0.2">
      <c r="A121" s="23" t="s">
        <v>0</v>
      </c>
      <c r="B121" s="10">
        <f>ROUND(72808460,-3)</f>
        <v>72808000</v>
      </c>
      <c r="C121" s="10">
        <f>ROUND(98504400,-3)</f>
        <v>98504000</v>
      </c>
      <c r="D121" s="10">
        <f>ROUND(109801400,-3)</f>
        <v>109801000</v>
      </c>
      <c r="E121" s="10">
        <f>ROUND(111788220,-3)</f>
        <v>111788000</v>
      </c>
      <c r="F121" s="10">
        <f>ROUND(146058160,-3)</f>
        <v>146058000</v>
      </c>
      <c r="G121" s="10">
        <f>ROUND(162937380,-3)</f>
        <v>162937000</v>
      </c>
      <c r="H121" s="10">
        <f>ROUND(182562520,-3)</f>
        <v>182563000</v>
      </c>
      <c r="I121" s="20">
        <f>ROUND(151802780,-3)</f>
        <v>151803000</v>
      </c>
      <c r="J121" s="8">
        <v>182854080</v>
      </c>
      <c r="K121" s="8">
        <v>305970285</v>
      </c>
      <c r="L121" s="8">
        <v>328059862</v>
      </c>
      <c r="M121" s="8">
        <v>297283336</v>
      </c>
      <c r="N121" s="8">
        <v>291616919</v>
      </c>
      <c r="O121" s="8">
        <v>346553621</v>
      </c>
      <c r="P121" s="8">
        <v>354704781</v>
      </c>
      <c r="Q121" s="8">
        <v>357000000</v>
      </c>
      <c r="R121" s="8">
        <v>377000000</v>
      </c>
      <c r="S121" s="8">
        <v>441000000</v>
      </c>
      <c r="T121" s="8"/>
      <c r="U121" s="8">
        <v>419000000</v>
      </c>
      <c r="V121" s="8">
        <v>379000000</v>
      </c>
    </row>
    <row r="122" spans="1:22" x14ac:dyDescent="0.2">
      <c r="A122" s="23" t="s">
        <v>1</v>
      </c>
      <c r="B122" s="10">
        <f>ROUND(316975.5,-3)</f>
        <v>317000</v>
      </c>
      <c r="C122" s="10">
        <f>ROUND(1447510,-3)</f>
        <v>1448000</v>
      </c>
      <c r="D122" s="10">
        <f>ROUND(3252451.22,-3)</f>
        <v>3252000</v>
      </c>
      <c r="E122" s="10">
        <f>ROUND(2701067.24,-3)</f>
        <v>2701000</v>
      </c>
      <c r="F122" s="10">
        <f>ROUND(3525631.64,-3)</f>
        <v>3526000</v>
      </c>
      <c r="G122" s="10">
        <f>ROUND(9378076.25,-3)</f>
        <v>9378000</v>
      </c>
      <c r="H122" s="10">
        <v>16696687.02</v>
      </c>
      <c r="I122" s="10">
        <f>ROUND(5347099.94,-3)</f>
        <v>5347000</v>
      </c>
      <c r="J122" s="8">
        <v>282820</v>
      </c>
      <c r="K122" s="8">
        <v>193800</v>
      </c>
      <c r="L122" s="8">
        <v>833300</v>
      </c>
      <c r="M122" s="8">
        <v>2540305</v>
      </c>
      <c r="N122" s="8">
        <v>13046099</v>
      </c>
      <c r="O122" s="8">
        <v>23065492</v>
      </c>
      <c r="P122" s="8">
        <v>26817702</v>
      </c>
      <c r="Q122" s="8">
        <v>24326804</v>
      </c>
      <c r="R122" s="8">
        <v>49119976</v>
      </c>
      <c r="S122" s="8">
        <v>49016194</v>
      </c>
      <c r="T122" s="8"/>
      <c r="U122" s="8">
        <v>0</v>
      </c>
      <c r="V122" s="8">
        <v>0</v>
      </c>
    </row>
    <row r="123" spans="1:22" x14ac:dyDescent="0.2">
      <c r="A123" s="23" t="s">
        <v>2</v>
      </c>
      <c r="B123" s="11">
        <v>0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8">
        <v>0</v>
      </c>
      <c r="K123" s="8">
        <v>0</v>
      </c>
      <c r="L123" s="8">
        <v>0</v>
      </c>
      <c r="M123" s="8">
        <v>0</v>
      </c>
      <c r="N123" s="8">
        <v>0</v>
      </c>
      <c r="O123" s="8">
        <v>0</v>
      </c>
      <c r="P123" s="8">
        <v>0</v>
      </c>
      <c r="Q123" s="8">
        <v>0</v>
      </c>
      <c r="R123" s="8">
        <v>0</v>
      </c>
      <c r="S123" s="8">
        <v>0</v>
      </c>
      <c r="T123" s="8"/>
      <c r="U123" s="8">
        <v>0</v>
      </c>
      <c r="V123" s="8">
        <v>0</v>
      </c>
    </row>
    <row r="124" spans="1:22" x14ac:dyDescent="0.2">
      <c r="A124" s="23" t="s">
        <v>3</v>
      </c>
      <c r="B124" s="11">
        <v>8506000</v>
      </c>
      <c r="C124" s="11">
        <v>10714000</v>
      </c>
      <c r="D124" s="11">
        <v>11575000</v>
      </c>
      <c r="E124" s="11">
        <v>15766000</v>
      </c>
      <c r="F124" s="11">
        <v>14118000</v>
      </c>
      <c r="G124" s="11">
        <v>15775000</v>
      </c>
      <c r="H124" s="11">
        <v>15435000</v>
      </c>
      <c r="I124" s="11">
        <v>21725000</v>
      </c>
      <c r="J124" s="8">
        <v>13207000</v>
      </c>
      <c r="K124" s="8">
        <v>14539000</v>
      </c>
      <c r="L124" s="8">
        <v>15535000</v>
      </c>
      <c r="M124" s="8">
        <v>15559000</v>
      </c>
      <c r="N124" s="8">
        <v>12415000</v>
      </c>
      <c r="O124" s="8">
        <v>14127000</v>
      </c>
      <c r="P124" s="8">
        <v>11092000</v>
      </c>
      <c r="Q124" s="8">
        <v>8224000</v>
      </c>
      <c r="R124" s="8">
        <v>5693000</v>
      </c>
      <c r="S124" s="8">
        <v>15862000</v>
      </c>
      <c r="T124" s="8"/>
      <c r="U124" s="8">
        <v>45885000</v>
      </c>
      <c r="V124" s="8">
        <v>46241000</v>
      </c>
    </row>
    <row r="125" spans="1:22" x14ac:dyDescent="0.2">
      <c r="A125" s="23" t="s">
        <v>4</v>
      </c>
      <c r="B125" s="11">
        <v>0</v>
      </c>
      <c r="C125" s="11">
        <v>0</v>
      </c>
      <c r="D125" s="11">
        <v>0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8">
        <v>0</v>
      </c>
      <c r="K125" s="8">
        <v>0</v>
      </c>
      <c r="L125" s="8">
        <v>0</v>
      </c>
      <c r="M125" s="8">
        <v>0</v>
      </c>
      <c r="N125" s="8">
        <v>0</v>
      </c>
      <c r="O125" s="8">
        <v>0</v>
      </c>
      <c r="P125" s="8">
        <v>0</v>
      </c>
      <c r="Q125" s="8">
        <v>0</v>
      </c>
      <c r="R125" s="8">
        <v>0</v>
      </c>
      <c r="S125" s="8">
        <v>0</v>
      </c>
      <c r="T125" s="8"/>
      <c r="U125" s="8">
        <v>0</v>
      </c>
      <c r="V125" s="8">
        <v>0</v>
      </c>
    </row>
    <row r="126" spans="1:22" ht="13.5" x14ac:dyDescent="0.25">
      <c r="A126" s="18" t="s">
        <v>6</v>
      </c>
      <c r="B126" s="14">
        <f t="shared" ref="B126:K126" si="7">SUM(B121:B125)</f>
        <v>81631000</v>
      </c>
      <c r="C126" s="14">
        <f t="shared" si="7"/>
        <v>110666000</v>
      </c>
      <c r="D126" s="14">
        <f t="shared" si="7"/>
        <v>124628000</v>
      </c>
      <c r="E126" s="14">
        <f t="shared" si="7"/>
        <v>130255000</v>
      </c>
      <c r="F126" s="14">
        <f t="shared" si="7"/>
        <v>163702000</v>
      </c>
      <c r="G126" s="14">
        <f t="shared" si="7"/>
        <v>188090000</v>
      </c>
      <c r="H126" s="14">
        <f t="shared" si="7"/>
        <v>214694687.02000001</v>
      </c>
      <c r="I126" s="14">
        <f t="shared" si="7"/>
        <v>178875000</v>
      </c>
      <c r="J126" s="15">
        <f t="shared" si="7"/>
        <v>196343900</v>
      </c>
      <c r="K126" s="15">
        <f t="shared" si="7"/>
        <v>320703085</v>
      </c>
      <c r="L126" s="15">
        <f>SUM(L120:L125)</f>
        <v>349116162</v>
      </c>
      <c r="M126" s="15">
        <f>SUM(M120:M125)</f>
        <v>337447143</v>
      </c>
      <c r="N126" s="15">
        <f>SUM(N120:N125)</f>
        <v>330820019</v>
      </c>
      <c r="O126" s="15">
        <f>SUM(O119:O125)</f>
        <v>406835162</v>
      </c>
      <c r="P126" s="15">
        <f>SUM(P119:P125)</f>
        <v>415229498</v>
      </c>
      <c r="Q126" s="15">
        <f>SUM(Q119:Q125)</f>
        <v>420499764</v>
      </c>
      <c r="R126" s="15">
        <f>SUM(R118:R125)</f>
        <v>459941996</v>
      </c>
      <c r="S126" s="15">
        <f>SUM(S118:S125)</f>
        <v>526777616</v>
      </c>
      <c r="T126" s="15"/>
      <c r="U126" s="15">
        <f>SUM(U118:U125)</f>
        <v>477249348</v>
      </c>
      <c r="V126" s="15">
        <f>SUM(V118:V125)</f>
        <v>442080975</v>
      </c>
    </row>
    <row r="127" spans="1:22" ht="5.0999999999999996" customHeight="1" x14ac:dyDescent="0.2"/>
    <row r="128" spans="1:22" ht="13.5" x14ac:dyDescent="0.25">
      <c r="A128" s="2" t="s">
        <v>50</v>
      </c>
      <c r="U128" s="6"/>
    </row>
    <row r="129" spans="1:22" ht="13.5" x14ac:dyDescent="0.25">
      <c r="U129" s="6"/>
    </row>
    <row r="130" spans="1:22" ht="13.5" x14ac:dyDescent="0.25">
      <c r="U130" s="6" t="s">
        <v>32</v>
      </c>
      <c r="V130" s="6" t="s">
        <v>39</v>
      </c>
    </row>
    <row r="131" spans="1:22" x14ac:dyDescent="0.2">
      <c r="A131" s="2" t="s">
        <v>29</v>
      </c>
      <c r="U131" s="8">
        <v>6825081</v>
      </c>
      <c r="V131" s="8">
        <v>6628788</v>
      </c>
    </row>
    <row r="132" spans="1:22" x14ac:dyDescent="0.2">
      <c r="A132" s="2" t="s">
        <v>26</v>
      </c>
      <c r="U132" s="8">
        <v>1198595</v>
      </c>
      <c r="V132" s="8">
        <v>1397556</v>
      </c>
    </row>
    <row r="133" spans="1:22" x14ac:dyDescent="0.2">
      <c r="A133" s="2" t="s">
        <v>23</v>
      </c>
      <c r="U133" s="8">
        <v>0</v>
      </c>
      <c r="V133" s="8">
        <v>0</v>
      </c>
    </row>
    <row r="134" spans="1:22" x14ac:dyDescent="0.2">
      <c r="A134" s="2" t="s">
        <v>0</v>
      </c>
      <c r="U134" s="8">
        <v>0</v>
      </c>
      <c r="V134" s="8">
        <v>0</v>
      </c>
    </row>
    <row r="135" spans="1:22" x14ac:dyDescent="0.2">
      <c r="A135" s="2" t="s">
        <v>1</v>
      </c>
      <c r="U135" s="8">
        <v>62470616</v>
      </c>
      <c r="V135" s="8">
        <v>51229014</v>
      </c>
    </row>
    <row r="136" spans="1:22" x14ac:dyDescent="0.2">
      <c r="A136" s="2" t="s">
        <v>2</v>
      </c>
      <c r="U136" s="8">
        <v>0</v>
      </c>
      <c r="V136" s="8">
        <v>0</v>
      </c>
    </row>
    <row r="137" spans="1:22" x14ac:dyDescent="0.2">
      <c r="A137" s="2" t="s">
        <v>33</v>
      </c>
      <c r="U137" s="8">
        <v>12000000</v>
      </c>
      <c r="V137" s="8">
        <v>1947000</v>
      </c>
    </row>
    <row r="138" spans="1:22" x14ac:dyDescent="0.2">
      <c r="A138" s="2" t="s">
        <v>4</v>
      </c>
      <c r="U138" s="8">
        <v>0</v>
      </c>
      <c r="V138" s="8">
        <v>0</v>
      </c>
    </row>
    <row r="139" spans="1:22" ht="13.5" x14ac:dyDescent="0.25">
      <c r="A139" s="3" t="s">
        <v>34</v>
      </c>
      <c r="U139" s="15">
        <f>SUM(U131:U138)</f>
        <v>82494292</v>
      </c>
      <c r="V139" s="15">
        <f>SUM(V131:V138)</f>
        <v>61202358</v>
      </c>
    </row>
    <row r="140" spans="1:22" ht="5.0999999999999996" customHeight="1" x14ac:dyDescent="0.2">
      <c r="J140" s="11"/>
    </row>
    <row r="141" spans="1:22" ht="13.5" x14ac:dyDescent="0.25">
      <c r="A141" s="4" t="s">
        <v>51</v>
      </c>
    </row>
    <row r="142" spans="1:22" ht="13.5" x14ac:dyDescent="0.25">
      <c r="A142" s="4"/>
    </row>
    <row r="143" spans="1:22" s="3" customFormat="1" ht="13.5" x14ac:dyDescent="0.25">
      <c r="A143" s="2"/>
      <c r="B143" s="5" t="s">
        <v>7</v>
      </c>
      <c r="C143" s="5" t="s">
        <v>8</v>
      </c>
      <c r="D143" s="5" t="s">
        <v>9</v>
      </c>
      <c r="E143" s="5" t="s">
        <v>10</v>
      </c>
      <c r="F143" s="5" t="s">
        <v>11</v>
      </c>
      <c r="G143" s="5" t="s">
        <v>12</v>
      </c>
      <c r="H143" s="6" t="s">
        <v>13</v>
      </c>
      <c r="I143" s="5" t="s">
        <v>16</v>
      </c>
      <c r="J143" s="5" t="s">
        <v>17</v>
      </c>
      <c r="K143" s="5" t="s">
        <v>19</v>
      </c>
      <c r="L143" s="6" t="s">
        <v>22</v>
      </c>
      <c r="M143" s="6" t="s">
        <v>24</v>
      </c>
      <c r="N143" s="6" t="s">
        <v>25</v>
      </c>
      <c r="O143" s="6" t="s">
        <v>21</v>
      </c>
      <c r="P143" s="6" t="s">
        <v>27</v>
      </c>
      <c r="Q143" s="6" t="s">
        <v>28</v>
      </c>
      <c r="R143" s="6" t="s">
        <v>30</v>
      </c>
      <c r="S143" s="6" t="s">
        <v>31</v>
      </c>
      <c r="T143" s="6"/>
      <c r="U143" s="6" t="s">
        <v>32</v>
      </c>
      <c r="V143" s="6" t="s">
        <v>39</v>
      </c>
    </row>
    <row r="144" spans="1:22" s="3" customFormat="1" ht="13.5" x14ac:dyDescent="0.25">
      <c r="A144" s="2" t="s">
        <v>29</v>
      </c>
      <c r="B144" s="5"/>
      <c r="C144" s="5"/>
      <c r="D144" s="5"/>
      <c r="E144" s="5"/>
      <c r="F144" s="5"/>
      <c r="G144" s="5"/>
      <c r="H144" s="6"/>
      <c r="I144" s="5"/>
      <c r="J144" s="5"/>
      <c r="K144" s="5"/>
      <c r="L144" s="6"/>
      <c r="M144" s="6"/>
      <c r="N144" s="6"/>
      <c r="O144" s="6"/>
      <c r="P144" s="6"/>
      <c r="Q144" s="6"/>
      <c r="R144" s="9">
        <v>0</v>
      </c>
      <c r="S144" s="8">
        <v>0</v>
      </c>
      <c r="T144" s="8"/>
      <c r="U144" s="8">
        <v>0</v>
      </c>
      <c r="V144" s="8">
        <v>0</v>
      </c>
    </row>
    <row r="145" spans="1:22" s="3" customFormat="1" ht="13.5" x14ac:dyDescent="0.25">
      <c r="A145" s="2" t="s">
        <v>26</v>
      </c>
      <c r="B145" s="5"/>
      <c r="C145" s="5"/>
      <c r="D145" s="5"/>
      <c r="E145" s="5"/>
      <c r="F145" s="5"/>
      <c r="G145" s="5"/>
      <c r="H145" s="6"/>
      <c r="I145" s="5"/>
      <c r="J145" s="5"/>
      <c r="K145" s="5"/>
      <c r="L145" s="6"/>
      <c r="M145" s="6"/>
      <c r="N145" s="6"/>
      <c r="O145" s="9">
        <v>0</v>
      </c>
      <c r="P145" s="8">
        <v>0</v>
      </c>
      <c r="Q145" s="8">
        <v>0</v>
      </c>
      <c r="R145" s="8">
        <v>0</v>
      </c>
      <c r="S145" s="8">
        <v>0</v>
      </c>
      <c r="T145" s="8"/>
      <c r="U145" s="8">
        <v>0</v>
      </c>
      <c r="V145" s="8">
        <v>0</v>
      </c>
    </row>
    <row r="146" spans="1:22" ht="13.5" x14ac:dyDescent="0.25">
      <c r="A146" s="2" t="s">
        <v>23</v>
      </c>
      <c r="B146" s="5"/>
      <c r="C146" s="5"/>
      <c r="D146" s="5"/>
      <c r="E146" s="5"/>
      <c r="F146" s="5"/>
      <c r="G146" s="5"/>
      <c r="H146" s="6"/>
      <c r="I146" s="5"/>
      <c r="J146" s="5"/>
      <c r="K146" s="5"/>
      <c r="L146" s="9">
        <v>0</v>
      </c>
      <c r="M146" s="8">
        <v>0</v>
      </c>
      <c r="N146" s="8">
        <v>0</v>
      </c>
      <c r="O146" s="8">
        <v>0</v>
      </c>
      <c r="P146" s="8">
        <v>0</v>
      </c>
      <c r="Q146" s="8">
        <v>0</v>
      </c>
      <c r="R146" s="8">
        <v>0</v>
      </c>
      <c r="S146" s="8">
        <v>0</v>
      </c>
      <c r="T146" s="8"/>
      <c r="U146" s="8">
        <v>0</v>
      </c>
      <c r="V146" s="8">
        <v>0</v>
      </c>
    </row>
    <row r="147" spans="1:22" x14ac:dyDescent="0.2">
      <c r="A147" s="23" t="s">
        <v>0</v>
      </c>
      <c r="B147" s="24">
        <v>0</v>
      </c>
      <c r="C147" s="24">
        <v>0</v>
      </c>
      <c r="D147" s="24">
        <v>0</v>
      </c>
      <c r="E147" s="24">
        <v>0</v>
      </c>
      <c r="F147" s="24">
        <v>0</v>
      </c>
      <c r="G147" s="24">
        <v>0</v>
      </c>
      <c r="H147" s="24">
        <v>0</v>
      </c>
      <c r="I147" s="24">
        <v>0</v>
      </c>
      <c r="J147" s="8">
        <v>0</v>
      </c>
      <c r="K147" s="8">
        <v>0</v>
      </c>
      <c r="L147" s="8">
        <v>0</v>
      </c>
      <c r="M147" s="8">
        <v>0</v>
      </c>
      <c r="N147" s="8">
        <v>0</v>
      </c>
      <c r="O147" s="8">
        <v>0</v>
      </c>
      <c r="P147" s="8">
        <v>0</v>
      </c>
      <c r="Q147" s="8">
        <v>0</v>
      </c>
      <c r="R147" s="8">
        <v>0</v>
      </c>
      <c r="S147" s="8">
        <v>0</v>
      </c>
      <c r="T147" s="8"/>
      <c r="U147" s="8">
        <v>0</v>
      </c>
      <c r="V147" s="8">
        <v>0</v>
      </c>
    </row>
    <row r="148" spans="1:22" x14ac:dyDescent="0.2">
      <c r="A148" s="23" t="s">
        <v>1</v>
      </c>
      <c r="B148" s="24">
        <v>0</v>
      </c>
      <c r="C148" s="24">
        <v>0</v>
      </c>
      <c r="D148" s="24">
        <v>0</v>
      </c>
      <c r="E148" s="24">
        <v>0</v>
      </c>
      <c r="F148" s="24">
        <v>0</v>
      </c>
      <c r="G148" s="24">
        <v>0</v>
      </c>
      <c r="H148" s="24">
        <v>0</v>
      </c>
      <c r="I148" s="24">
        <v>0</v>
      </c>
      <c r="J148" s="8">
        <v>0</v>
      </c>
      <c r="K148" s="8">
        <v>0</v>
      </c>
      <c r="L148" s="8">
        <v>0</v>
      </c>
      <c r="M148" s="8">
        <v>0</v>
      </c>
      <c r="N148" s="8">
        <v>0</v>
      </c>
      <c r="O148" s="8">
        <v>0</v>
      </c>
      <c r="P148" s="8">
        <v>0</v>
      </c>
      <c r="Q148" s="8">
        <v>0</v>
      </c>
      <c r="R148" s="8">
        <v>0</v>
      </c>
      <c r="S148" s="8">
        <v>0</v>
      </c>
      <c r="T148" s="8"/>
      <c r="U148" s="8">
        <v>0</v>
      </c>
      <c r="V148" s="8">
        <v>0</v>
      </c>
    </row>
    <row r="149" spans="1:22" x14ac:dyDescent="0.2">
      <c r="A149" s="23" t="s">
        <v>2</v>
      </c>
      <c r="B149" s="24">
        <v>868000</v>
      </c>
      <c r="C149" s="24">
        <v>2701000</v>
      </c>
      <c r="D149" s="24">
        <v>1996000</v>
      </c>
      <c r="E149" s="24">
        <v>3646000</v>
      </c>
      <c r="F149" s="24">
        <v>3999000</v>
      </c>
      <c r="G149" s="24">
        <v>4470000</v>
      </c>
      <c r="H149" s="24">
        <v>6318000</v>
      </c>
      <c r="I149" s="20">
        <f>ROUND(4866281,-3)</f>
        <v>4866000</v>
      </c>
      <c r="J149" s="8">
        <v>3677059</v>
      </c>
      <c r="K149" s="8">
        <v>4441087</v>
      </c>
      <c r="L149" s="8">
        <v>9496636</v>
      </c>
      <c r="M149" s="8">
        <v>9581865</v>
      </c>
      <c r="N149" s="8">
        <v>13258166</v>
      </c>
      <c r="O149" s="8">
        <v>11483967</v>
      </c>
      <c r="P149" s="8">
        <v>15578646</v>
      </c>
      <c r="Q149" s="8">
        <v>16886314</v>
      </c>
      <c r="R149" s="8">
        <v>16203872</v>
      </c>
      <c r="S149" s="8">
        <v>13213099</v>
      </c>
      <c r="T149" s="8"/>
      <c r="U149" s="8">
        <v>16879149</v>
      </c>
      <c r="V149" s="8">
        <v>19331835</v>
      </c>
    </row>
    <row r="150" spans="1:22" x14ac:dyDescent="0.2">
      <c r="A150" s="23" t="s">
        <v>3</v>
      </c>
      <c r="B150" s="24">
        <v>0</v>
      </c>
      <c r="C150" s="24">
        <v>0</v>
      </c>
      <c r="D150" s="24">
        <v>0</v>
      </c>
      <c r="E150" s="24">
        <v>0</v>
      </c>
      <c r="F150" s="24">
        <v>0</v>
      </c>
      <c r="G150" s="24">
        <v>0</v>
      </c>
      <c r="H150" s="24">
        <v>0</v>
      </c>
      <c r="I150" s="24">
        <v>0</v>
      </c>
      <c r="J150" s="8">
        <v>0</v>
      </c>
      <c r="K150" s="8">
        <v>0</v>
      </c>
      <c r="L150" s="8">
        <v>0</v>
      </c>
      <c r="M150" s="8">
        <v>0</v>
      </c>
      <c r="N150" s="8">
        <v>0</v>
      </c>
      <c r="O150" s="8">
        <v>0</v>
      </c>
      <c r="P150" s="8">
        <v>0</v>
      </c>
      <c r="Q150" s="8">
        <v>0</v>
      </c>
      <c r="R150" s="8">
        <v>0</v>
      </c>
      <c r="S150" s="8">
        <v>0</v>
      </c>
      <c r="T150" s="8"/>
      <c r="U150" s="8">
        <v>0</v>
      </c>
      <c r="V150" s="8">
        <v>0</v>
      </c>
    </row>
    <row r="151" spans="1:22" x14ac:dyDescent="0.2">
      <c r="A151" s="23" t="s">
        <v>4</v>
      </c>
      <c r="B151" s="13">
        <f>ROUND(66608230,-3)</f>
        <v>66608000</v>
      </c>
      <c r="C151" s="13">
        <f>ROUND(73918110,-3)</f>
        <v>73918000</v>
      </c>
      <c r="D151" s="13">
        <f>ROUND(84473180,-3)</f>
        <v>84473000</v>
      </c>
      <c r="E151" s="13">
        <f>ROUND(131461420,-3)</f>
        <v>131461000</v>
      </c>
      <c r="F151" s="13">
        <f>ROUND(160623720,-3)</f>
        <v>160624000</v>
      </c>
      <c r="G151" s="13">
        <f>ROUND(155585117,-3)</f>
        <v>155585000</v>
      </c>
      <c r="H151" s="13">
        <f>ROUND(164602110,-3)</f>
        <v>164602000</v>
      </c>
      <c r="I151" s="11">
        <f>ROUND(154556843,-3)</f>
        <v>154557000</v>
      </c>
      <c r="J151" s="8">
        <v>175712870</v>
      </c>
      <c r="K151" s="8">
        <v>194398800</v>
      </c>
      <c r="L151" s="8">
        <v>246478170</v>
      </c>
      <c r="M151" s="8">
        <v>236695950</v>
      </c>
      <c r="N151" s="8">
        <v>247619247</v>
      </c>
      <c r="O151" s="8">
        <v>254268598</v>
      </c>
      <c r="P151" s="8">
        <v>253482572</v>
      </c>
      <c r="Q151" s="8">
        <v>253584994</v>
      </c>
      <c r="R151" s="8">
        <v>244833161</v>
      </c>
      <c r="S151" s="8">
        <v>269266570</v>
      </c>
      <c r="T151" s="8"/>
      <c r="U151" s="8">
        <v>290161420</v>
      </c>
      <c r="V151" s="8">
        <v>292822344</v>
      </c>
    </row>
    <row r="152" spans="1:22" ht="14.25" thickBot="1" x14ac:dyDescent="0.3">
      <c r="A152" s="18" t="s">
        <v>6</v>
      </c>
      <c r="B152" s="25">
        <f t="shared" ref="B152:K152" si="8">SUM(B147:B151)</f>
        <v>67476000</v>
      </c>
      <c r="C152" s="25">
        <f t="shared" si="8"/>
        <v>76619000</v>
      </c>
      <c r="D152" s="25">
        <f t="shared" si="8"/>
        <v>86469000</v>
      </c>
      <c r="E152" s="25">
        <f t="shared" si="8"/>
        <v>135107000</v>
      </c>
      <c r="F152" s="25">
        <f t="shared" si="8"/>
        <v>164623000</v>
      </c>
      <c r="G152" s="25">
        <f t="shared" si="8"/>
        <v>160055000</v>
      </c>
      <c r="H152" s="25">
        <f t="shared" si="8"/>
        <v>170920000</v>
      </c>
      <c r="I152" s="25">
        <f t="shared" si="8"/>
        <v>159423000</v>
      </c>
      <c r="J152" s="15">
        <f t="shared" si="8"/>
        <v>179389929</v>
      </c>
      <c r="K152" s="15">
        <f t="shared" si="8"/>
        <v>198839887</v>
      </c>
      <c r="L152" s="15">
        <f>SUM(L146:L151)</f>
        <v>255974806</v>
      </c>
      <c r="M152" s="15">
        <f>SUM(M146:M151)</f>
        <v>246277815</v>
      </c>
      <c r="N152" s="15">
        <f>SUM(N146:N151)</f>
        <v>260877413</v>
      </c>
      <c r="O152" s="15">
        <f>SUM(O145:O151)</f>
        <v>265752565</v>
      </c>
      <c r="P152" s="15">
        <f>SUM(P145:P151)</f>
        <v>269061218</v>
      </c>
      <c r="Q152" s="15">
        <f>SUM(Q145:Q151)</f>
        <v>270471308</v>
      </c>
      <c r="R152" s="15">
        <f>SUM(R144:R151)</f>
        <v>261037033</v>
      </c>
      <c r="S152" s="15">
        <f>SUM(S149:S151)</f>
        <v>282479669</v>
      </c>
      <c r="T152" s="15"/>
      <c r="U152" s="15">
        <f>SUM(U144:U151)</f>
        <v>307040569</v>
      </c>
      <c r="V152" s="15">
        <f>SUM(V144:V151)</f>
        <v>312154179</v>
      </c>
    </row>
    <row r="153" spans="1:22" ht="5.0999999999999996" customHeight="1" thickBot="1" x14ac:dyDescent="0.25">
      <c r="N153" s="26"/>
    </row>
    <row r="154" spans="1:22" ht="13.5" x14ac:dyDescent="0.25">
      <c r="A154" s="4" t="s">
        <v>52</v>
      </c>
    </row>
    <row r="155" spans="1:22" ht="13.5" x14ac:dyDescent="0.25">
      <c r="A155" s="4"/>
    </row>
    <row r="156" spans="1:22" ht="13.5" x14ac:dyDescent="0.25">
      <c r="B156" s="5" t="s">
        <v>7</v>
      </c>
      <c r="C156" s="5" t="s">
        <v>8</v>
      </c>
      <c r="D156" s="5" t="s">
        <v>9</v>
      </c>
      <c r="E156" s="5" t="s">
        <v>10</v>
      </c>
      <c r="F156" s="5" t="s">
        <v>11</v>
      </c>
      <c r="G156" s="5" t="s">
        <v>12</v>
      </c>
      <c r="H156" s="6" t="s">
        <v>13</v>
      </c>
      <c r="I156" s="5" t="s">
        <v>16</v>
      </c>
      <c r="J156" s="5" t="s">
        <v>17</v>
      </c>
      <c r="K156" s="5" t="s">
        <v>19</v>
      </c>
      <c r="L156" s="6" t="s">
        <v>22</v>
      </c>
      <c r="M156" s="6" t="s">
        <v>24</v>
      </c>
      <c r="N156" s="6" t="s">
        <v>25</v>
      </c>
      <c r="O156" s="6" t="s">
        <v>21</v>
      </c>
      <c r="P156" s="6" t="s">
        <v>27</v>
      </c>
      <c r="Q156" s="6" t="s">
        <v>28</v>
      </c>
      <c r="R156" s="6" t="s">
        <v>30</v>
      </c>
      <c r="S156" s="6" t="s">
        <v>31</v>
      </c>
      <c r="T156" s="6"/>
      <c r="U156" s="6" t="s">
        <v>32</v>
      </c>
      <c r="V156" s="6" t="s">
        <v>39</v>
      </c>
    </row>
    <row r="157" spans="1:22" ht="13.5" x14ac:dyDescent="0.25">
      <c r="A157" s="2" t="s">
        <v>29</v>
      </c>
      <c r="B157" s="5"/>
      <c r="C157" s="5"/>
      <c r="D157" s="5"/>
      <c r="E157" s="5"/>
      <c r="F157" s="5"/>
      <c r="G157" s="5"/>
      <c r="H157" s="6"/>
      <c r="I157" s="5"/>
      <c r="J157" s="5"/>
      <c r="K157" s="5"/>
      <c r="L157" s="6"/>
      <c r="M157" s="6"/>
      <c r="N157" s="6"/>
      <c r="O157" s="6"/>
      <c r="P157" s="6"/>
      <c r="Q157" s="6"/>
      <c r="R157" s="9">
        <v>1662355</v>
      </c>
      <c r="S157" s="8">
        <v>2105297</v>
      </c>
      <c r="T157" s="8"/>
      <c r="U157" s="8">
        <v>1382757</v>
      </c>
      <c r="V157" s="8">
        <v>887853</v>
      </c>
    </row>
    <row r="158" spans="1:22" ht="13.5" x14ac:dyDescent="0.25">
      <c r="A158" s="2" t="s">
        <v>26</v>
      </c>
      <c r="B158" s="5"/>
      <c r="C158" s="5"/>
      <c r="D158" s="5"/>
      <c r="E158" s="5"/>
      <c r="F158" s="5"/>
      <c r="G158" s="5"/>
      <c r="H158" s="6"/>
      <c r="I158" s="5"/>
      <c r="J158" s="5"/>
      <c r="K158" s="5"/>
      <c r="L158" s="6"/>
      <c r="M158" s="6"/>
      <c r="N158" s="6"/>
      <c r="O158" s="9">
        <v>1592661</v>
      </c>
      <c r="P158" s="8">
        <v>1819933</v>
      </c>
      <c r="Q158" s="8">
        <v>2458291</v>
      </c>
      <c r="R158" s="8">
        <v>2399408</v>
      </c>
      <c r="S158" s="8">
        <v>2580851</v>
      </c>
      <c r="T158" s="8"/>
      <c r="U158" s="8">
        <v>812119</v>
      </c>
      <c r="V158" s="8">
        <v>3267718</v>
      </c>
    </row>
    <row r="159" spans="1:22" s="3" customFormat="1" ht="13.5" x14ac:dyDescent="0.25">
      <c r="A159" s="2" t="s">
        <v>23</v>
      </c>
      <c r="B159" s="5"/>
      <c r="C159" s="5"/>
      <c r="D159" s="5"/>
      <c r="E159" s="5"/>
      <c r="F159" s="5"/>
      <c r="G159" s="5"/>
      <c r="H159" s="6"/>
      <c r="I159" s="5"/>
      <c r="J159" s="5"/>
      <c r="K159" s="5"/>
      <c r="L159" s="9">
        <v>3569000</v>
      </c>
      <c r="M159" s="8">
        <v>6895001</v>
      </c>
      <c r="N159" s="8">
        <v>9104000</v>
      </c>
      <c r="O159" s="8">
        <v>10940000</v>
      </c>
      <c r="P159" s="8">
        <v>9363200</v>
      </c>
      <c r="Q159" s="8">
        <v>6408000</v>
      </c>
      <c r="R159" s="8">
        <v>7606900</v>
      </c>
      <c r="S159" s="8">
        <v>11474001</v>
      </c>
      <c r="T159" s="8"/>
      <c r="U159" s="8">
        <v>5404938</v>
      </c>
      <c r="V159" s="8">
        <v>9687000</v>
      </c>
    </row>
    <row r="160" spans="1:22" s="3" customFormat="1" ht="13.5" x14ac:dyDescent="0.25">
      <c r="A160" s="23" t="s">
        <v>0</v>
      </c>
      <c r="B160" s="10">
        <f>ROUND(23288728.59,-3)</f>
        <v>23289000</v>
      </c>
      <c r="C160" s="10">
        <f>ROUND(27129120.8,-3)</f>
        <v>27129000</v>
      </c>
      <c r="D160" s="10">
        <f>ROUND(34194539.05,-3)</f>
        <v>34195000</v>
      </c>
      <c r="E160" s="10">
        <f>ROUND(43049843.94,-3)</f>
        <v>43050000</v>
      </c>
      <c r="F160" s="10">
        <f>ROUND(54528272.48,-3)</f>
        <v>54528000</v>
      </c>
      <c r="G160" s="10">
        <f>ROUND(66618730.94,-3)</f>
        <v>66619000</v>
      </c>
      <c r="H160" s="10">
        <f>ROUND(83648704.51,-3)</f>
        <v>83649000</v>
      </c>
      <c r="I160" s="10">
        <f>ROUND(93321364.27,-3)</f>
        <v>93321000</v>
      </c>
      <c r="J160" s="8">
        <v>108626741</v>
      </c>
      <c r="K160" s="8">
        <v>138769350</v>
      </c>
      <c r="L160" s="8">
        <v>154706185</v>
      </c>
      <c r="M160" s="8">
        <v>152167576</v>
      </c>
      <c r="N160" s="8">
        <v>167511706</v>
      </c>
      <c r="O160" s="8">
        <v>190640596</v>
      </c>
      <c r="P160" s="8">
        <v>177813038</v>
      </c>
      <c r="Q160" s="8">
        <v>196000000</v>
      </c>
      <c r="R160" s="8">
        <v>218000000</v>
      </c>
      <c r="S160" s="8">
        <v>216000000</v>
      </c>
      <c r="T160" s="8"/>
      <c r="U160" s="8">
        <v>242000000</v>
      </c>
      <c r="V160" s="8">
        <v>247000000</v>
      </c>
    </row>
    <row r="161" spans="1:22" x14ac:dyDescent="0.2">
      <c r="A161" s="23" t="s">
        <v>1</v>
      </c>
      <c r="B161" s="10">
        <v>0</v>
      </c>
      <c r="C161" s="10">
        <v>0</v>
      </c>
      <c r="D161" s="10">
        <v>0</v>
      </c>
      <c r="E161" s="10">
        <v>0</v>
      </c>
      <c r="F161" s="10">
        <v>0</v>
      </c>
      <c r="G161" s="10">
        <f>ROUND(3570,-3)</f>
        <v>4000</v>
      </c>
      <c r="H161" s="10">
        <f>ROUND(8500,-3)</f>
        <v>9000</v>
      </c>
      <c r="I161" s="10">
        <f>ROUND(593690,-3)</f>
        <v>594000</v>
      </c>
      <c r="J161" s="8">
        <v>0</v>
      </c>
      <c r="K161" s="8">
        <v>457488</v>
      </c>
      <c r="L161" s="8">
        <v>257040</v>
      </c>
      <c r="M161" s="8">
        <v>221300</v>
      </c>
      <c r="N161" s="8">
        <v>554511</v>
      </c>
      <c r="O161" s="8">
        <v>1565206</v>
      </c>
      <c r="P161" s="8">
        <v>945306</v>
      </c>
      <c r="Q161" s="8">
        <v>5601555</v>
      </c>
      <c r="R161" s="8">
        <v>3061637</v>
      </c>
      <c r="S161" s="8">
        <v>4403518</v>
      </c>
      <c r="T161" s="8"/>
      <c r="U161" s="8">
        <v>2819690</v>
      </c>
      <c r="V161" s="8">
        <v>2247216</v>
      </c>
    </row>
    <row r="162" spans="1:22" x14ac:dyDescent="0.2">
      <c r="A162" s="23" t="s">
        <v>2</v>
      </c>
      <c r="B162" s="11">
        <v>192000</v>
      </c>
      <c r="C162" s="11">
        <v>309000</v>
      </c>
      <c r="D162" s="11">
        <v>645000</v>
      </c>
      <c r="E162" s="11">
        <v>1054000</v>
      </c>
      <c r="F162" s="11">
        <v>1095000</v>
      </c>
      <c r="G162" s="11">
        <v>1685000</v>
      </c>
      <c r="H162" s="11">
        <v>2034000</v>
      </c>
      <c r="I162" s="10">
        <f>ROUND(2346842,-3)</f>
        <v>2347000</v>
      </c>
      <c r="J162" s="8">
        <v>1548261</v>
      </c>
      <c r="K162" s="8">
        <v>3061985</v>
      </c>
      <c r="L162" s="8">
        <v>3327500</v>
      </c>
      <c r="M162" s="8">
        <v>3865839</v>
      </c>
      <c r="N162" s="8">
        <v>4914984</v>
      </c>
      <c r="O162" s="8">
        <v>5526693</v>
      </c>
      <c r="P162" s="8">
        <v>6438393</v>
      </c>
      <c r="Q162" s="8">
        <v>8097270</v>
      </c>
      <c r="R162" s="8">
        <v>8940384</v>
      </c>
      <c r="S162" s="8">
        <v>9762847</v>
      </c>
      <c r="T162" s="8"/>
      <c r="U162" s="8">
        <v>10820385</v>
      </c>
      <c r="V162" s="8">
        <v>12224521</v>
      </c>
    </row>
    <row r="163" spans="1:22" x14ac:dyDescent="0.2">
      <c r="A163" s="23" t="s">
        <v>3</v>
      </c>
      <c r="B163" s="11">
        <v>4925000</v>
      </c>
      <c r="C163" s="11">
        <v>3841000</v>
      </c>
      <c r="D163" s="11">
        <f>ROUND(6228679,-3)</f>
        <v>6229000</v>
      </c>
      <c r="E163" s="11">
        <f>ROUND(4211724,-3)</f>
        <v>4212000</v>
      </c>
      <c r="F163" s="11">
        <f>ROUND(8844422,-3)</f>
        <v>8844000</v>
      </c>
      <c r="G163" s="11">
        <f>ROUND(10663098,-3)</f>
        <v>10663000</v>
      </c>
      <c r="H163" s="11">
        <f>ROUND(13425179,-3)</f>
        <v>13425000</v>
      </c>
      <c r="I163" s="11">
        <f>ROUND(8426459.22,-3)</f>
        <v>8426000</v>
      </c>
      <c r="J163" s="7">
        <v>6761854.2000000002</v>
      </c>
      <c r="K163" s="8">
        <v>22682264</v>
      </c>
      <c r="L163" s="8">
        <v>4496386</v>
      </c>
      <c r="M163" s="8">
        <v>13686718</v>
      </c>
      <c r="N163" s="8">
        <v>14685533</v>
      </c>
      <c r="O163" s="8">
        <v>7644830</v>
      </c>
      <c r="P163" s="8">
        <v>10978294</v>
      </c>
      <c r="Q163" s="8">
        <v>15143109</v>
      </c>
      <c r="R163" s="8">
        <v>10413327</v>
      </c>
      <c r="S163" s="8">
        <v>6825778</v>
      </c>
      <c r="T163" s="8"/>
      <c r="U163" s="8">
        <v>7953771</v>
      </c>
      <c r="V163" s="8">
        <v>16331176</v>
      </c>
    </row>
    <row r="164" spans="1:22" x14ac:dyDescent="0.2">
      <c r="A164" s="23" t="s">
        <v>4</v>
      </c>
      <c r="B164" s="13">
        <f>ROUND(38011707,-3)</f>
        <v>38012000</v>
      </c>
      <c r="C164" s="13">
        <f>ROUND(40391787.969436,-3)</f>
        <v>40392000</v>
      </c>
      <c r="D164" s="13">
        <f>ROUND(46139805.47317,-3)</f>
        <v>46140000</v>
      </c>
      <c r="E164" s="13">
        <f>ROUND(54370130.6470841,-3)</f>
        <v>54370000</v>
      </c>
      <c r="F164" s="13">
        <f>ROUND(64207459,-3)</f>
        <v>64207000</v>
      </c>
      <c r="G164" s="13">
        <f>ROUND(74863369.63649,-3)</f>
        <v>74863000</v>
      </c>
      <c r="H164" s="13">
        <f>ROUND(90381617,-3)</f>
        <v>90382000</v>
      </c>
      <c r="I164" s="11">
        <f>ROUND(100863121,-3)</f>
        <v>100863000</v>
      </c>
      <c r="J164" s="8">
        <v>111882884</v>
      </c>
      <c r="K164" s="8">
        <v>117320004</v>
      </c>
      <c r="L164" s="8">
        <v>144199272</v>
      </c>
      <c r="M164" s="8">
        <v>154490433</v>
      </c>
      <c r="N164" s="8">
        <v>166871341</v>
      </c>
      <c r="O164" s="8">
        <v>177000004</v>
      </c>
      <c r="P164" s="8">
        <v>189399194</v>
      </c>
      <c r="Q164" s="8">
        <v>201558775</v>
      </c>
      <c r="R164" s="8">
        <v>205241308</v>
      </c>
      <c r="S164" s="8">
        <v>201814436</v>
      </c>
      <c r="T164" s="8"/>
      <c r="U164" s="8">
        <v>205778402</v>
      </c>
      <c r="V164" s="8">
        <v>222539126</v>
      </c>
    </row>
    <row r="165" spans="1:22" ht="13.5" x14ac:dyDescent="0.25">
      <c r="A165" s="18" t="s">
        <v>5</v>
      </c>
      <c r="B165" s="14">
        <f t="shared" ref="B165:K165" si="9">SUM(B160:B164)</f>
        <v>66418000</v>
      </c>
      <c r="C165" s="14">
        <f t="shared" si="9"/>
        <v>71671000</v>
      </c>
      <c r="D165" s="14">
        <f t="shared" si="9"/>
        <v>87209000</v>
      </c>
      <c r="E165" s="14">
        <f t="shared" si="9"/>
        <v>102686000</v>
      </c>
      <c r="F165" s="14">
        <f t="shared" si="9"/>
        <v>128674000</v>
      </c>
      <c r="G165" s="14">
        <f t="shared" si="9"/>
        <v>153834000</v>
      </c>
      <c r="H165" s="14">
        <f t="shared" si="9"/>
        <v>189499000</v>
      </c>
      <c r="I165" s="14">
        <f t="shared" si="9"/>
        <v>205551000</v>
      </c>
      <c r="J165" s="15">
        <f t="shared" si="9"/>
        <v>228819740.19999999</v>
      </c>
      <c r="K165" s="15">
        <f t="shared" si="9"/>
        <v>282291091</v>
      </c>
      <c r="L165" s="15">
        <f>SUM(L159:L164)</f>
        <v>310555383</v>
      </c>
      <c r="M165" s="15">
        <f>SUM(M159:M164)</f>
        <v>331326867</v>
      </c>
      <c r="N165" s="15">
        <f>SUM(N159:N164)</f>
        <v>363642075</v>
      </c>
      <c r="O165" s="15">
        <f>SUM(O158:O164)</f>
        <v>394909990</v>
      </c>
      <c r="P165" s="15">
        <f>SUM(P158:P164)</f>
        <v>396757358</v>
      </c>
      <c r="Q165" s="15">
        <f>SUM(Q158:Q164)</f>
        <v>435267000</v>
      </c>
      <c r="R165" s="15">
        <f>SUM(R157:R164)</f>
        <v>457325319</v>
      </c>
      <c r="S165" s="15">
        <f>SUM(S157:S164)</f>
        <v>454966728</v>
      </c>
      <c r="T165" s="15"/>
      <c r="U165" s="15">
        <f>SUM(U157:U164)</f>
        <v>476972062</v>
      </c>
      <c r="V165" s="15">
        <f>SUM(V157:V164)</f>
        <v>514184610</v>
      </c>
    </row>
    <row r="166" spans="1:22" ht="5.0999999999999996" customHeight="1" x14ac:dyDescent="0.2"/>
    <row r="167" spans="1:22" ht="13.5" x14ac:dyDescent="0.25">
      <c r="A167" s="4" t="s">
        <v>53</v>
      </c>
    </row>
    <row r="168" spans="1:22" ht="13.5" x14ac:dyDescent="0.25">
      <c r="A168" s="4"/>
    </row>
    <row r="169" spans="1:22" ht="13.5" x14ac:dyDescent="0.25">
      <c r="B169" s="5" t="s">
        <v>7</v>
      </c>
      <c r="C169" s="5" t="s">
        <v>8</v>
      </c>
      <c r="D169" s="5" t="s">
        <v>9</v>
      </c>
      <c r="E169" s="5" t="s">
        <v>10</v>
      </c>
      <c r="F169" s="5" t="s">
        <v>11</v>
      </c>
      <c r="G169" s="5" t="s">
        <v>12</v>
      </c>
      <c r="H169" s="6" t="s">
        <v>13</v>
      </c>
      <c r="I169" s="5" t="s">
        <v>16</v>
      </c>
      <c r="J169" s="5" t="s">
        <v>17</v>
      </c>
      <c r="K169" s="5" t="s">
        <v>19</v>
      </c>
      <c r="L169" s="6" t="s">
        <v>22</v>
      </c>
      <c r="M169" s="6" t="s">
        <v>24</v>
      </c>
      <c r="N169" s="6" t="s">
        <v>25</v>
      </c>
      <c r="O169" s="6" t="s">
        <v>21</v>
      </c>
      <c r="P169" s="6" t="s">
        <v>27</v>
      </c>
      <c r="Q169" s="6" t="s">
        <v>28</v>
      </c>
      <c r="R169" s="6" t="s">
        <v>30</v>
      </c>
      <c r="S169" s="6" t="s">
        <v>31</v>
      </c>
      <c r="T169" s="6"/>
      <c r="U169" s="6" t="s">
        <v>32</v>
      </c>
      <c r="V169" s="6" t="s">
        <v>39</v>
      </c>
    </row>
    <row r="170" spans="1:22" ht="13.5" x14ac:dyDescent="0.25">
      <c r="A170" s="2" t="s">
        <v>29</v>
      </c>
      <c r="B170" s="5"/>
      <c r="C170" s="5"/>
      <c r="D170" s="5"/>
      <c r="E170" s="5"/>
      <c r="F170" s="5"/>
      <c r="G170" s="5"/>
      <c r="H170" s="6"/>
      <c r="I170" s="5"/>
      <c r="J170" s="5"/>
      <c r="K170" s="5"/>
      <c r="L170" s="6"/>
      <c r="M170" s="6"/>
      <c r="N170" s="6"/>
      <c r="O170" s="6"/>
      <c r="P170" s="6"/>
      <c r="Q170" s="6"/>
      <c r="R170" s="9">
        <v>1662355</v>
      </c>
      <c r="S170" s="8">
        <v>2105297</v>
      </c>
      <c r="T170" s="8"/>
      <c r="U170" s="8">
        <v>0</v>
      </c>
      <c r="V170" s="8">
        <v>0</v>
      </c>
    </row>
    <row r="171" spans="1:22" ht="13.5" x14ac:dyDescent="0.25">
      <c r="A171" s="2" t="s">
        <v>26</v>
      </c>
      <c r="B171" s="5"/>
      <c r="C171" s="5"/>
      <c r="D171" s="5"/>
      <c r="E171" s="5"/>
      <c r="F171" s="5"/>
      <c r="G171" s="5"/>
      <c r="H171" s="6"/>
      <c r="I171" s="5"/>
      <c r="J171" s="5"/>
      <c r="K171" s="5"/>
      <c r="L171" s="6"/>
      <c r="M171" s="6"/>
      <c r="N171" s="6"/>
      <c r="O171" s="9">
        <v>1592661</v>
      </c>
      <c r="P171" s="8">
        <v>1819933</v>
      </c>
      <c r="Q171" s="8">
        <v>2458291</v>
      </c>
      <c r="R171" s="8">
        <v>2399408</v>
      </c>
      <c r="S171" s="8">
        <v>2580851</v>
      </c>
      <c r="T171" s="8"/>
      <c r="U171" s="8">
        <v>812119</v>
      </c>
      <c r="V171" s="8">
        <v>3267718</v>
      </c>
    </row>
    <row r="172" spans="1:22" ht="13.5" x14ac:dyDescent="0.25">
      <c r="A172" s="2" t="s">
        <v>23</v>
      </c>
      <c r="B172" s="5"/>
      <c r="C172" s="5"/>
      <c r="D172" s="5"/>
      <c r="E172" s="5"/>
      <c r="F172" s="5"/>
      <c r="G172" s="5"/>
      <c r="H172" s="6"/>
      <c r="I172" s="5"/>
      <c r="J172" s="5"/>
      <c r="K172" s="5"/>
      <c r="L172" s="9">
        <v>3569000</v>
      </c>
      <c r="M172" s="8">
        <v>6895001</v>
      </c>
      <c r="N172" s="8">
        <v>9104000</v>
      </c>
      <c r="O172" s="8">
        <v>10940000</v>
      </c>
      <c r="P172" s="8">
        <v>9363200</v>
      </c>
      <c r="Q172" s="8">
        <v>6408000</v>
      </c>
      <c r="R172" s="8">
        <v>7606900</v>
      </c>
      <c r="S172" s="8">
        <v>11474001</v>
      </c>
      <c r="T172" s="8"/>
      <c r="U172" s="8">
        <v>5404938</v>
      </c>
      <c r="V172" s="8">
        <v>9687000</v>
      </c>
    </row>
    <row r="173" spans="1:22" s="3" customFormat="1" ht="13.5" x14ac:dyDescent="0.25">
      <c r="A173" s="23" t="s">
        <v>0</v>
      </c>
      <c r="B173" s="10">
        <f>ROUND(23288728.59,-3)</f>
        <v>23289000</v>
      </c>
      <c r="C173" s="10">
        <f>ROUND(27129120.8,-3)</f>
        <v>27129000</v>
      </c>
      <c r="D173" s="10">
        <f>ROUND(34194539.05,-3)</f>
        <v>34195000</v>
      </c>
      <c r="E173" s="10">
        <f>ROUND(43049843.94,-3)</f>
        <v>43050000</v>
      </c>
      <c r="F173" s="10">
        <f>ROUND(54528272.48,-3)</f>
        <v>54528000</v>
      </c>
      <c r="G173" s="10">
        <f>ROUND(66618730.94,-3)</f>
        <v>66619000</v>
      </c>
      <c r="H173" s="10">
        <f>ROUND(83648704.51,-3)</f>
        <v>83649000</v>
      </c>
      <c r="I173" s="20">
        <f>ROUND(93321364,-3)</f>
        <v>93321000</v>
      </c>
      <c r="J173" s="8">
        <v>108626741</v>
      </c>
      <c r="K173" s="8">
        <v>138769350</v>
      </c>
      <c r="L173" s="8">
        <v>154706185</v>
      </c>
      <c r="M173" s="8">
        <v>152167576</v>
      </c>
      <c r="N173" s="8">
        <v>167511706</v>
      </c>
      <c r="O173" s="8">
        <v>190640596</v>
      </c>
      <c r="P173" s="8">
        <v>177813038</v>
      </c>
      <c r="Q173" s="8">
        <v>196000000</v>
      </c>
      <c r="R173" s="8">
        <v>218000000</v>
      </c>
      <c r="S173" s="8">
        <v>216000000</v>
      </c>
      <c r="T173" s="8"/>
      <c r="U173" s="8">
        <v>242000000</v>
      </c>
      <c r="V173" s="8">
        <v>247000000</v>
      </c>
    </row>
    <row r="174" spans="1:22" x14ac:dyDescent="0.2">
      <c r="A174" s="23" t="s">
        <v>1</v>
      </c>
      <c r="B174" s="10">
        <v>0</v>
      </c>
      <c r="C174" s="10">
        <v>0</v>
      </c>
      <c r="D174" s="10">
        <v>0</v>
      </c>
      <c r="E174" s="10">
        <v>0</v>
      </c>
      <c r="F174" s="10">
        <v>0</v>
      </c>
      <c r="G174" s="10">
        <f>ROUND(3570,-3)</f>
        <v>4000</v>
      </c>
      <c r="H174" s="10">
        <f>ROUND(8500,-4)</f>
        <v>10000</v>
      </c>
      <c r="I174" s="10">
        <f>ROUND(593690,-3)</f>
        <v>594000</v>
      </c>
      <c r="J174" s="8">
        <v>0</v>
      </c>
      <c r="K174" s="8">
        <v>457488</v>
      </c>
      <c r="L174" s="8">
        <v>257040</v>
      </c>
      <c r="M174" s="8">
        <v>221300</v>
      </c>
      <c r="N174" s="8">
        <v>554511</v>
      </c>
      <c r="O174" s="8">
        <v>1565206</v>
      </c>
      <c r="P174" s="8">
        <v>945306</v>
      </c>
      <c r="Q174" s="8">
        <v>5601555</v>
      </c>
      <c r="R174" s="8">
        <v>3061637</v>
      </c>
      <c r="S174" s="8">
        <v>4403518</v>
      </c>
      <c r="T174" s="8"/>
      <c r="U174" s="8">
        <v>0</v>
      </c>
      <c r="V174" s="8">
        <v>0</v>
      </c>
    </row>
    <row r="175" spans="1:22" x14ac:dyDescent="0.2">
      <c r="A175" s="23" t="s">
        <v>2</v>
      </c>
      <c r="B175" s="11">
        <v>0</v>
      </c>
      <c r="C175" s="11">
        <v>0</v>
      </c>
      <c r="D175" s="11">
        <v>0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8">
        <v>0</v>
      </c>
      <c r="K175" s="8">
        <v>0</v>
      </c>
      <c r="L175" s="8">
        <v>0</v>
      </c>
      <c r="M175" s="8">
        <v>0</v>
      </c>
      <c r="N175" s="8">
        <v>0</v>
      </c>
      <c r="O175" s="8">
        <v>0</v>
      </c>
      <c r="P175" s="8">
        <v>0</v>
      </c>
      <c r="Q175" s="8">
        <v>0</v>
      </c>
      <c r="R175" s="8">
        <v>0</v>
      </c>
      <c r="S175" s="8">
        <v>0</v>
      </c>
      <c r="T175" s="8"/>
      <c r="U175" s="8">
        <v>0</v>
      </c>
      <c r="V175" s="8">
        <v>0</v>
      </c>
    </row>
    <row r="176" spans="1:22" x14ac:dyDescent="0.2">
      <c r="A176" s="23" t="s">
        <v>33</v>
      </c>
      <c r="B176" s="11">
        <v>4925000</v>
      </c>
      <c r="C176" s="11">
        <v>3841000</v>
      </c>
      <c r="D176" s="11">
        <f>ROUND(6228679,-3)</f>
        <v>6229000</v>
      </c>
      <c r="E176" s="11">
        <f>ROUND(4211724,-3)</f>
        <v>4212000</v>
      </c>
      <c r="F176" s="11">
        <f>ROUND(8844422,-3)</f>
        <v>8844000</v>
      </c>
      <c r="G176" s="11">
        <f>ROUND(10663098,-3)</f>
        <v>10663000</v>
      </c>
      <c r="H176" s="11">
        <f>ROUND(13425179,-3)</f>
        <v>13425000</v>
      </c>
      <c r="I176" s="11">
        <f>ROUND(8426459.22,-3)</f>
        <v>8426000</v>
      </c>
      <c r="J176" s="7">
        <v>6761854.2000000002</v>
      </c>
      <c r="K176" s="8">
        <v>22682264</v>
      </c>
      <c r="L176" s="8">
        <v>4496386</v>
      </c>
      <c r="M176" s="8">
        <v>13686718</v>
      </c>
      <c r="N176" s="8">
        <v>14685533</v>
      </c>
      <c r="O176" s="8">
        <v>7644830</v>
      </c>
      <c r="P176" s="8">
        <v>10978294</v>
      </c>
      <c r="Q176" s="8">
        <v>15143109</v>
      </c>
      <c r="R176" s="8">
        <v>10413327</v>
      </c>
      <c r="S176" s="8">
        <v>6825778</v>
      </c>
      <c r="T176" s="8"/>
      <c r="U176" s="8">
        <v>-4046229</v>
      </c>
      <c r="V176" s="8">
        <v>14384176</v>
      </c>
    </row>
    <row r="177" spans="1:22" x14ac:dyDescent="0.2">
      <c r="A177" s="23" t="s">
        <v>4</v>
      </c>
      <c r="B177" s="11">
        <v>0</v>
      </c>
      <c r="C177" s="11">
        <v>0</v>
      </c>
      <c r="D177" s="11">
        <v>0</v>
      </c>
      <c r="E177" s="11">
        <v>0</v>
      </c>
      <c r="F177" s="11">
        <v>0</v>
      </c>
      <c r="G177" s="11">
        <v>0</v>
      </c>
      <c r="H177" s="11">
        <v>0</v>
      </c>
      <c r="I177" s="11">
        <v>0</v>
      </c>
      <c r="J177" s="8">
        <v>0</v>
      </c>
      <c r="K177" s="8">
        <v>0</v>
      </c>
      <c r="L177" s="8">
        <v>0</v>
      </c>
      <c r="M177" s="8">
        <v>0</v>
      </c>
      <c r="N177" s="8">
        <v>0</v>
      </c>
      <c r="O177" s="8">
        <v>0</v>
      </c>
      <c r="P177" s="8">
        <v>0</v>
      </c>
      <c r="Q177" s="8">
        <v>0</v>
      </c>
      <c r="R177" s="8">
        <v>0</v>
      </c>
      <c r="S177" s="8">
        <v>0</v>
      </c>
      <c r="T177" s="8"/>
      <c r="U177" s="8">
        <v>0</v>
      </c>
      <c r="V177" s="8">
        <v>0</v>
      </c>
    </row>
    <row r="178" spans="1:22" ht="13.5" x14ac:dyDescent="0.25">
      <c r="A178" s="18" t="s">
        <v>5</v>
      </c>
      <c r="B178" s="14">
        <f t="shared" ref="B178:K178" si="10">SUM(B173:B177)</f>
        <v>28214000</v>
      </c>
      <c r="C178" s="14">
        <f t="shared" si="10"/>
        <v>30970000</v>
      </c>
      <c r="D178" s="14">
        <f t="shared" si="10"/>
        <v>40424000</v>
      </c>
      <c r="E178" s="14">
        <f t="shared" si="10"/>
        <v>47262000</v>
      </c>
      <c r="F178" s="14">
        <f t="shared" si="10"/>
        <v>63372000</v>
      </c>
      <c r="G178" s="14">
        <f t="shared" si="10"/>
        <v>77286000</v>
      </c>
      <c r="H178" s="14">
        <f t="shared" si="10"/>
        <v>97084000</v>
      </c>
      <c r="I178" s="14">
        <f t="shared" si="10"/>
        <v>102341000</v>
      </c>
      <c r="J178" s="15">
        <f t="shared" si="10"/>
        <v>115388595.2</v>
      </c>
      <c r="K178" s="15">
        <f t="shared" si="10"/>
        <v>161909102</v>
      </c>
      <c r="L178" s="15">
        <f>SUM(L172:L177)</f>
        <v>163028611</v>
      </c>
      <c r="M178" s="15">
        <f>SUM(M172:M177)</f>
        <v>172970595</v>
      </c>
      <c r="N178" s="15">
        <f>SUM(N172:N177)</f>
        <v>191855750</v>
      </c>
      <c r="O178" s="15">
        <f>SUM(O171:O177)</f>
        <v>212383293</v>
      </c>
      <c r="P178" s="15">
        <f>SUM(P171:P177)</f>
        <v>200919771</v>
      </c>
      <c r="Q178" s="15">
        <f>SUM(Q171:Q177)</f>
        <v>225610955</v>
      </c>
      <c r="R178" s="15">
        <f>SUM(R170:R177)</f>
        <v>243143627</v>
      </c>
      <c r="S178" s="15">
        <f>SUM(S170:S177)</f>
        <v>243389445</v>
      </c>
      <c r="T178" s="15"/>
      <c r="U178" s="15">
        <f>SUM(U170:U177)</f>
        <v>244170828</v>
      </c>
      <c r="V178" s="15">
        <f>SUM(V170:V177)</f>
        <v>274338894</v>
      </c>
    </row>
    <row r="179" spans="1:22" ht="5.0999999999999996" customHeight="1" x14ac:dyDescent="0.25">
      <c r="A179" s="18"/>
    </row>
    <row r="180" spans="1:22" ht="13.5" x14ac:dyDescent="0.25">
      <c r="A180" s="18" t="s">
        <v>54</v>
      </c>
    </row>
    <row r="181" spans="1:22" ht="13.5" x14ac:dyDescent="0.25">
      <c r="A181" s="18"/>
    </row>
    <row r="182" spans="1:22" ht="13.5" x14ac:dyDescent="0.25">
      <c r="A182" s="18"/>
      <c r="U182" s="6" t="s">
        <v>32</v>
      </c>
      <c r="V182" s="6" t="s">
        <v>39</v>
      </c>
    </row>
    <row r="183" spans="1:22" x14ac:dyDescent="0.2">
      <c r="A183" s="23" t="s">
        <v>29</v>
      </c>
      <c r="U183" s="8">
        <v>1382757</v>
      </c>
      <c r="V183" s="8">
        <v>887853</v>
      </c>
    </row>
    <row r="184" spans="1:22" x14ac:dyDescent="0.2">
      <c r="A184" s="23" t="s">
        <v>26</v>
      </c>
      <c r="U184" s="8">
        <v>0</v>
      </c>
      <c r="V184" s="8">
        <v>1381366</v>
      </c>
    </row>
    <row r="185" spans="1:22" x14ac:dyDescent="0.2">
      <c r="A185" s="23" t="s">
        <v>23</v>
      </c>
      <c r="U185" s="8">
        <v>0</v>
      </c>
      <c r="V185" s="8">
        <v>0</v>
      </c>
    </row>
    <row r="186" spans="1:22" x14ac:dyDescent="0.2">
      <c r="A186" s="23" t="s">
        <v>0</v>
      </c>
      <c r="U186" s="8">
        <v>0</v>
      </c>
      <c r="V186" s="8">
        <v>0</v>
      </c>
    </row>
    <row r="187" spans="1:22" x14ac:dyDescent="0.2">
      <c r="A187" s="23" t="s">
        <v>1</v>
      </c>
      <c r="U187" s="8">
        <v>2819690</v>
      </c>
      <c r="V187" s="8">
        <v>2247216</v>
      </c>
    </row>
    <row r="188" spans="1:22" x14ac:dyDescent="0.2">
      <c r="A188" s="23" t="s">
        <v>2</v>
      </c>
      <c r="U188" s="8">
        <v>0</v>
      </c>
      <c r="V188" s="8">
        <v>0</v>
      </c>
    </row>
    <row r="189" spans="1:22" x14ac:dyDescent="0.2">
      <c r="A189" s="23" t="s">
        <v>33</v>
      </c>
      <c r="U189" s="8">
        <v>12000000</v>
      </c>
      <c r="V189" s="8">
        <v>1947000</v>
      </c>
    </row>
    <row r="190" spans="1:22" x14ac:dyDescent="0.2">
      <c r="A190" s="23" t="s">
        <v>4</v>
      </c>
      <c r="U190" s="8">
        <v>0</v>
      </c>
      <c r="V190" s="8">
        <v>0</v>
      </c>
    </row>
    <row r="191" spans="1:22" ht="13.5" x14ac:dyDescent="0.25">
      <c r="A191" s="18" t="s">
        <v>5</v>
      </c>
      <c r="U191" s="15">
        <f>SUM(U183:U190)</f>
        <v>16202447</v>
      </c>
      <c r="V191" s="15">
        <f>SUM(V183:V190)</f>
        <v>6463435</v>
      </c>
    </row>
    <row r="192" spans="1:22" ht="5.0999999999999996" customHeight="1" x14ac:dyDescent="0.25">
      <c r="A192" s="18"/>
    </row>
    <row r="193" spans="1:22" ht="13.5" x14ac:dyDescent="0.25">
      <c r="A193" s="4" t="s">
        <v>55</v>
      </c>
    </row>
    <row r="194" spans="1:22" ht="13.5" x14ac:dyDescent="0.25">
      <c r="A194" s="4"/>
    </row>
    <row r="195" spans="1:22" ht="13.5" x14ac:dyDescent="0.25">
      <c r="B195" s="5" t="s">
        <v>7</v>
      </c>
      <c r="C195" s="5" t="s">
        <v>8</v>
      </c>
      <c r="D195" s="5" t="s">
        <v>9</v>
      </c>
      <c r="E195" s="5" t="s">
        <v>10</v>
      </c>
      <c r="F195" s="5" t="s">
        <v>11</v>
      </c>
      <c r="G195" s="5" t="s">
        <v>12</v>
      </c>
      <c r="H195" s="6" t="s">
        <v>13</v>
      </c>
      <c r="I195" s="5" t="s">
        <v>16</v>
      </c>
      <c r="J195" s="5" t="s">
        <v>17</v>
      </c>
      <c r="K195" s="5" t="s">
        <v>19</v>
      </c>
      <c r="L195" s="6" t="s">
        <v>22</v>
      </c>
      <c r="M195" s="6" t="s">
        <v>24</v>
      </c>
      <c r="N195" s="6" t="s">
        <v>25</v>
      </c>
      <c r="O195" s="6" t="s">
        <v>21</v>
      </c>
      <c r="P195" s="6" t="s">
        <v>27</v>
      </c>
      <c r="Q195" s="6" t="s">
        <v>28</v>
      </c>
      <c r="R195" s="6" t="s">
        <v>30</v>
      </c>
      <c r="S195" s="6" t="s">
        <v>31</v>
      </c>
      <c r="T195" s="6"/>
      <c r="U195" s="6" t="s">
        <v>32</v>
      </c>
      <c r="V195" s="6" t="s">
        <v>39</v>
      </c>
    </row>
    <row r="196" spans="1:22" ht="13.5" x14ac:dyDescent="0.25">
      <c r="A196" s="2" t="s">
        <v>29</v>
      </c>
      <c r="B196" s="5"/>
      <c r="C196" s="5"/>
      <c r="D196" s="5"/>
      <c r="E196" s="5"/>
      <c r="F196" s="5"/>
      <c r="G196" s="5"/>
      <c r="H196" s="6"/>
      <c r="I196" s="5"/>
      <c r="J196" s="5"/>
      <c r="K196" s="5"/>
      <c r="L196" s="6"/>
      <c r="M196" s="6"/>
      <c r="N196" s="6"/>
      <c r="O196" s="6"/>
      <c r="P196" s="6"/>
      <c r="Q196" s="6"/>
      <c r="R196" s="9">
        <v>0</v>
      </c>
      <c r="S196" s="8">
        <v>0</v>
      </c>
      <c r="T196" s="8"/>
      <c r="U196" s="8">
        <v>0</v>
      </c>
      <c r="V196" s="8">
        <v>0</v>
      </c>
    </row>
    <row r="197" spans="1:22" ht="13.5" x14ac:dyDescent="0.25">
      <c r="A197" s="2" t="s">
        <v>26</v>
      </c>
      <c r="B197" s="5"/>
      <c r="C197" s="5"/>
      <c r="D197" s="5"/>
      <c r="E197" s="5"/>
      <c r="F197" s="5"/>
      <c r="G197" s="5"/>
      <c r="H197" s="6"/>
      <c r="I197" s="5"/>
      <c r="J197" s="5"/>
      <c r="K197" s="5"/>
      <c r="L197" s="6"/>
      <c r="M197" s="6"/>
      <c r="N197" s="6"/>
      <c r="O197" s="9">
        <v>0</v>
      </c>
      <c r="P197" s="8">
        <v>0</v>
      </c>
      <c r="Q197" s="8">
        <v>0</v>
      </c>
      <c r="R197" s="8">
        <v>0</v>
      </c>
      <c r="S197" s="8">
        <v>0</v>
      </c>
      <c r="T197" s="8"/>
      <c r="U197" s="8">
        <v>0</v>
      </c>
      <c r="V197" s="8">
        <v>0</v>
      </c>
    </row>
    <row r="198" spans="1:22" ht="13.5" x14ac:dyDescent="0.25">
      <c r="A198" s="2" t="s">
        <v>23</v>
      </c>
      <c r="B198" s="5"/>
      <c r="C198" s="5"/>
      <c r="D198" s="5"/>
      <c r="E198" s="5"/>
      <c r="F198" s="5"/>
      <c r="G198" s="5"/>
      <c r="H198" s="6"/>
      <c r="I198" s="5"/>
      <c r="J198" s="5"/>
      <c r="K198" s="5"/>
      <c r="L198" s="9">
        <v>0</v>
      </c>
      <c r="M198" s="8">
        <v>0</v>
      </c>
      <c r="N198" s="8">
        <v>0</v>
      </c>
      <c r="O198" s="8">
        <v>0</v>
      </c>
      <c r="P198" s="8">
        <v>0</v>
      </c>
      <c r="Q198" s="8">
        <v>0</v>
      </c>
      <c r="R198" s="8">
        <v>0</v>
      </c>
      <c r="S198" s="8">
        <v>0</v>
      </c>
      <c r="T198" s="8"/>
      <c r="U198" s="8">
        <v>0</v>
      </c>
      <c r="V198" s="8">
        <v>0</v>
      </c>
    </row>
    <row r="199" spans="1:22" x14ac:dyDescent="0.2">
      <c r="A199" s="23" t="s">
        <v>0</v>
      </c>
      <c r="B199" s="11">
        <v>0</v>
      </c>
      <c r="C199" s="11">
        <v>0</v>
      </c>
      <c r="D199" s="11">
        <v>0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8">
        <v>0</v>
      </c>
      <c r="K199" s="8">
        <v>0</v>
      </c>
      <c r="L199" s="8">
        <v>0</v>
      </c>
      <c r="M199" s="8">
        <v>0</v>
      </c>
      <c r="N199" s="8">
        <v>0</v>
      </c>
      <c r="O199" s="8">
        <v>0</v>
      </c>
      <c r="P199" s="8">
        <v>0</v>
      </c>
      <c r="Q199" s="8">
        <v>0</v>
      </c>
      <c r="R199" s="8">
        <v>0</v>
      </c>
      <c r="S199" s="8">
        <v>0</v>
      </c>
      <c r="T199" s="8"/>
      <c r="U199" s="8">
        <v>0</v>
      </c>
      <c r="V199" s="8">
        <v>0</v>
      </c>
    </row>
    <row r="200" spans="1:22" s="3" customFormat="1" ht="13.5" x14ac:dyDescent="0.25">
      <c r="A200" s="23" t="s">
        <v>1</v>
      </c>
      <c r="B200" s="11">
        <v>0</v>
      </c>
      <c r="C200" s="11">
        <v>0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8">
        <v>0</v>
      </c>
      <c r="K200" s="8">
        <v>0</v>
      </c>
      <c r="L200" s="8">
        <v>0</v>
      </c>
      <c r="M200" s="8">
        <v>0</v>
      </c>
      <c r="N200" s="8">
        <v>0</v>
      </c>
      <c r="O200" s="8">
        <v>0</v>
      </c>
      <c r="P200" s="8">
        <v>0</v>
      </c>
      <c r="Q200" s="8">
        <v>0</v>
      </c>
      <c r="R200" s="8">
        <v>0</v>
      </c>
      <c r="S200" s="8">
        <v>0</v>
      </c>
      <c r="T200" s="8"/>
      <c r="U200" s="8">
        <v>0</v>
      </c>
      <c r="V200" s="8">
        <v>0</v>
      </c>
    </row>
    <row r="201" spans="1:22" x14ac:dyDescent="0.2">
      <c r="A201" s="23" t="s">
        <v>2</v>
      </c>
      <c r="B201" s="11">
        <v>192000</v>
      </c>
      <c r="C201" s="11">
        <v>309000</v>
      </c>
      <c r="D201" s="11">
        <v>645000</v>
      </c>
      <c r="E201" s="11">
        <v>1054000</v>
      </c>
      <c r="F201" s="11">
        <v>1095000</v>
      </c>
      <c r="G201" s="11">
        <v>1685000</v>
      </c>
      <c r="H201" s="11">
        <v>2034000</v>
      </c>
      <c r="I201" s="20">
        <f>ROUND(2346842,-3)</f>
        <v>2347000</v>
      </c>
      <c r="J201" s="8">
        <v>1548261</v>
      </c>
      <c r="K201" s="8">
        <v>3061985</v>
      </c>
      <c r="L201" s="8">
        <v>3327500</v>
      </c>
      <c r="M201" s="8">
        <v>3865839</v>
      </c>
      <c r="N201" s="8">
        <v>4914984</v>
      </c>
      <c r="O201" s="8">
        <v>5526693</v>
      </c>
      <c r="P201" s="8">
        <v>6438393</v>
      </c>
      <c r="Q201" s="8">
        <v>8097270</v>
      </c>
      <c r="R201" s="8">
        <v>8940384</v>
      </c>
      <c r="S201" s="8">
        <v>9762847</v>
      </c>
      <c r="T201" s="8"/>
      <c r="U201" s="8">
        <v>10820385</v>
      </c>
      <c r="V201" s="8">
        <v>12224521</v>
      </c>
    </row>
    <row r="202" spans="1:22" x14ac:dyDescent="0.2">
      <c r="A202" s="23" t="s">
        <v>3</v>
      </c>
      <c r="B202" s="11">
        <v>0</v>
      </c>
      <c r="C202" s="11">
        <v>0</v>
      </c>
      <c r="D202" s="11">
        <v>0</v>
      </c>
      <c r="E202" s="11">
        <v>0</v>
      </c>
      <c r="F202" s="11">
        <v>0</v>
      </c>
      <c r="G202" s="11">
        <v>0</v>
      </c>
      <c r="H202" s="11">
        <v>0</v>
      </c>
      <c r="I202" s="11">
        <v>0</v>
      </c>
      <c r="J202" s="8">
        <v>0</v>
      </c>
      <c r="K202" s="8">
        <v>0</v>
      </c>
      <c r="L202" s="8">
        <v>0</v>
      </c>
      <c r="M202" s="8">
        <v>0</v>
      </c>
      <c r="N202" s="8">
        <v>0</v>
      </c>
      <c r="O202" s="8">
        <v>0</v>
      </c>
      <c r="P202" s="8">
        <v>0</v>
      </c>
      <c r="Q202" s="8">
        <v>0</v>
      </c>
      <c r="R202" s="8">
        <v>0</v>
      </c>
      <c r="S202" s="8">
        <v>0</v>
      </c>
      <c r="T202" s="8"/>
      <c r="U202" s="8">
        <v>0</v>
      </c>
      <c r="V202" s="8">
        <v>0</v>
      </c>
    </row>
    <row r="203" spans="1:22" x14ac:dyDescent="0.2">
      <c r="A203" s="23" t="s">
        <v>4</v>
      </c>
      <c r="B203" s="13">
        <f>ROUND(38011707,-3)</f>
        <v>38012000</v>
      </c>
      <c r="C203" s="13">
        <f>ROUND(40391787.969436,-3)</f>
        <v>40392000</v>
      </c>
      <c r="D203" s="13">
        <f>ROUND(46139805.47317,-3)</f>
        <v>46140000</v>
      </c>
      <c r="E203" s="13">
        <f>ROUND(54370130.6470841,-3)</f>
        <v>54370000</v>
      </c>
      <c r="F203" s="13">
        <f>ROUND(64207459,-3)</f>
        <v>64207000</v>
      </c>
      <c r="G203" s="13">
        <f>ROUND(74863369.63649,-3)</f>
        <v>74863000</v>
      </c>
      <c r="H203" s="13">
        <f>ROUND(90381617,-3)</f>
        <v>90382000</v>
      </c>
      <c r="I203" s="11">
        <f>ROUND(100863121,-3)</f>
        <v>100863000</v>
      </c>
      <c r="J203" s="8">
        <v>111882884</v>
      </c>
      <c r="K203" s="8">
        <v>117320004</v>
      </c>
      <c r="L203" s="8">
        <v>144199272</v>
      </c>
      <c r="M203" s="8">
        <v>154490433</v>
      </c>
      <c r="N203" s="8">
        <v>166871341</v>
      </c>
      <c r="O203" s="8">
        <v>177000004</v>
      </c>
      <c r="P203" s="8">
        <v>189399194</v>
      </c>
      <c r="Q203" s="8">
        <v>201558775</v>
      </c>
      <c r="R203" s="8">
        <v>205241308</v>
      </c>
      <c r="S203" s="8">
        <v>201814436</v>
      </c>
      <c r="T203" s="8"/>
      <c r="U203" s="8">
        <v>205778402</v>
      </c>
      <c r="V203" s="8">
        <v>222539126</v>
      </c>
    </row>
    <row r="204" spans="1:22" ht="13.5" x14ac:dyDescent="0.25">
      <c r="A204" s="18" t="s">
        <v>5</v>
      </c>
      <c r="B204" s="14">
        <f t="shared" ref="B204:K204" si="11">SUM(B199:B203)</f>
        <v>38204000</v>
      </c>
      <c r="C204" s="14">
        <f t="shared" si="11"/>
        <v>40701000</v>
      </c>
      <c r="D204" s="14">
        <f t="shared" si="11"/>
        <v>46785000</v>
      </c>
      <c r="E204" s="14">
        <f t="shared" si="11"/>
        <v>55424000</v>
      </c>
      <c r="F204" s="14">
        <f t="shared" si="11"/>
        <v>65302000</v>
      </c>
      <c r="G204" s="14">
        <f t="shared" si="11"/>
        <v>76548000</v>
      </c>
      <c r="H204" s="14">
        <f t="shared" si="11"/>
        <v>92416000</v>
      </c>
      <c r="I204" s="14">
        <f t="shared" si="11"/>
        <v>103210000</v>
      </c>
      <c r="J204" s="15">
        <f t="shared" si="11"/>
        <v>113431145</v>
      </c>
      <c r="K204" s="15">
        <f t="shared" si="11"/>
        <v>120381989</v>
      </c>
      <c r="L204" s="15">
        <f>SUM(L198:L203)</f>
        <v>147526772</v>
      </c>
      <c r="M204" s="15">
        <f>SUM(M198:M203)</f>
        <v>158356272</v>
      </c>
      <c r="N204" s="15">
        <f>SUM(N198:N203)</f>
        <v>171786325</v>
      </c>
      <c r="O204" s="15">
        <f>SUM(O197:O203)</f>
        <v>182526697</v>
      </c>
      <c r="P204" s="15">
        <f>SUM(P197:P203)</f>
        <v>195837587</v>
      </c>
      <c r="Q204" s="15">
        <f>SUM(Q197:Q203)</f>
        <v>209656045</v>
      </c>
      <c r="R204" s="15">
        <f>SUM(R196:R203)</f>
        <v>214181692</v>
      </c>
      <c r="S204" s="15">
        <f>SUM(S196:S203)</f>
        <v>211577283</v>
      </c>
      <c r="T204" s="15"/>
      <c r="U204" s="15">
        <f>SUM(U196:U203)</f>
        <v>216598787</v>
      </c>
      <c r="V204" s="15">
        <f>SUM(V196:V203)</f>
        <v>234763647</v>
      </c>
    </row>
    <row r="205" spans="1:22" ht="5.0999999999999996" customHeight="1" x14ac:dyDescent="0.2"/>
    <row r="206" spans="1:22" ht="13.5" x14ac:dyDescent="0.25">
      <c r="A206" s="4" t="s">
        <v>56</v>
      </c>
    </row>
    <row r="207" spans="1:22" ht="13.5" x14ac:dyDescent="0.25">
      <c r="A207" s="4"/>
    </row>
    <row r="208" spans="1:22" ht="13.5" x14ac:dyDescent="0.25">
      <c r="B208" s="5" t="s">
        <v>7</v>
      </c>
      <c r="C208" s="5" t="s">
        <v>8</v>
      </c>
      <c r="D208" s="5" t="s">
        <v>9</v>
      </c>
      <c r="E208" s="5" t="s">
        <v>10</v>
      </c>
      <c r="F208" s="5" t="s">
        <v>11</v>
      </c>
      <c r="G208" s="5" t="s">
        <v>12</v>
      </c>
      <c r="H208" s="6" t="s">
        <v>13</v>
      </c>
      <c r="I208" s="5" t="s">
        <v>16</v>
      </c>
      <c r="J208" s="5" t="s">
        <v>17</v>
      </c>
      <c r="K208" s="5" t="s">
        <v>19</v>
      </c>
      <c r="L208" s="6" t="s">
        <v>22</v>
      </c>
      <c r="M208" s="6" t="s">
        <v>24</v>
      </c>
      <c r="N208" s="6" t="s">
        <v>25</v>
      </c>
      <c r="O208" s="6" t="s">
        <v>21</v>
      </c>
      <c r="P208" s="6" t="s">
        <v>27</v>
      </c>
      <c r="Q208" s="6" t="s">
        <v>28</v>
      </c>
      <c r="R208" s="6" t="s">
        <v>30</v>
      </c>
      <c r="S208" s="6" t="s">
        <v>31</v>
      </c>
      <c r="T208" s="6"/>
      <c r="U208" s="6" t="s">
        <v>32</v>
      </c>
      <c r="V208" s="6" t="s">
        <v>39</v>
      </c>
    </row>
    <row r="209" spans="1:22" ht="13.5" x14ac:dyDescent="0.25">
      <c r="A209" s="2" t="s">
        <v>29</v>
      </c>
      <c r="B209" s="5"/>
      <c r="C209" s="5"/>
      <c r="D209" s="5"/>
      <c r="E209" s="5"/>
      <c r="F209" s="5"/>
      <c r="G209" s="5"/>
      <c r="H209" s="6"/>
      <c r="I209" s="5"/>
      <c r="J209" s="5"/>
      <c r="K209" s="5"/>
      <c r="L209" s="6"/>
      <c r="M209" s="6"/>
      <c r="N209" s="6"/>
      <c r="O209" s="6"/>
      <c r="P209" s="6"/>
      <c r="Q209" s="6"/>
      <c r="R209" s="9">
        <v>4992831</v>
      </c>
      <c r="S209" s="8">
        <v>2011903</v>
      </c>
      <c r="T209" s="8"/>
      <c r="U209" s="12">
        <v>5442324</v>
      </c>
      <c r="V209" s="8">
        <v>5740935</v>
      </c>
    </row>
    <row r="210" spans="1:22" ht="13.5" x14ac:dyDescent="0.25">
      <c r="A210" s="2" t="s">
        <v>26</v>
      </c>
      <c r="B210" s="5"/>
      <c r="C210" s="5"/>
      <c r="D210" s="5"/>
      <c r="E210" s="5"/>
      <c r="F210" s="5"/>
      <c r="G210" s="5"/>
      <c r="H210" s="6"/>
      <c r="I210" s="5"/>
      <c r="J210" s="5"/>
      <c r="K210" s="5"/>
      <c r="L210" s="6"/>
      <c r="M210" s="6"/>
      <c r="N210" s="6"/>
      <c r="O210" s="9">
        <v>3628388</v>
      </c>
      <c r="P210" s="8">
        <v>1323082</v>
      </c>
      <c r="Q210" s="8">
        <v>6439169</v>
      </c>
      <c r="R210" s="8">
        <v>2243425</v>
      </c>
      <c r="S210" s="8">
        <v>474371</v>
      </c>
      <c r="T210" s="8"/>
      <c r="U210" s="8">
        <v>731824</v>
      </c>
      <c r="V210" s="8">
        <v>1752743</v>
      </c>
    </row>
    <row r="211" spans="1:22" ht="13.5" x14ac:dyDescent="0.25">
      <c r="A211" s="2" t="s">
        <v>23</v>
      </c>
      <c r="B211" s="5"/>
      <c r="C211" s="5"/>
      <c r="D211" s="5"/>
      <c r="E211" s="5"/>
      <c r="F211" s="5"/>
      <c r="G211" s="5"/>
      <c r="H211" s="6"/>
      <c r="I211" s="5"/>
      <c r="J211" s="5"/>
      <c r="K211" s="5"/>
      <c r="L211" s="9">
        <v>5110000</v>
      </c>
      <c r="M211" s="8">
        <v>15169501</v>
      </c>
      <c r="N211" s="8">
        <v>4638001</v>
      </c>
      <c r="O211" s="8">
        <v>6928000</v>
      </c>
      <c r="P211" s="8">
        <v>10108800</v>
      </c>
      <c r="Q211" s="8">
        <v>15643500</v>
      </c>
      <c r="R211" s="8">
        <v>7606900</v>
      </c>
      <c r="S211" s="8">
        <v>2255999</v>
      </c>
      <c r="T211" s="8"/>
      <c r="U211" s="8">
        <v>6614062</v>
      </c>
      <c r="V211" s="8">
        <v>5638000</v>
      </c>
    </row>
    <row r="212" spans="1:22" x14ac:dyDescent="0.2">
      <c r="A212" s="23" t="s">
        <v>0</v>
      </c>
      <c r="B212" s="10">
        <f>ROUND(49519731.41,-3)</f>
        <v>49520000</v>
      </c>
      <c r="C212" s="10">
        <f>ROUND(71375279.2,-3)</f>
        <v>71375000</v>
      </c>
      <c r="D212" s="10">
        <f>ROUND(75606860.95,-3)</f>
        <v>75607000</v>
      </c>
      <c r="E212" s="10">
        <f>ROUND(68738376.06,-3)</f>
        <v>68738000</v>
      </c>
      <c r="F212" s="10">
        <f>ROUND(91529887.52,-3)</f>
        <v>91530000</v>
      </c>
      <c r="G212" s="10">
        <f>ROUND(96318649.06,-3)</f>
        <v>96319000</v>
      </c>
      <c r="H212" s="10">
        <f>ROUND(98913815.49,-3)</f>
        <v>98914000</v>
      </c>
      <c r="I212" s="10">
        <f>ROUND(58481415.73,-3)</f>
        <v>58481000</v>
      </c>
      <c r="J212" s="8">
        <v>74227339</v>
      </c>
      <c r="K212" s="8">
        <v>167200935</v>
      </c>
      <c r="L212" s="8">
        <v>173353677</v>
      </c>
      <c r="M212" s="8">
        <v>145115759</v>
      </c>
      <c r="N212" s="8">
        <v>124105213</v>
      </c>
      <c r="O212" s="8">
        <v>155913025</v>
      </c>
      <c r="P212" s="8">
        <v>176891723</v>
      </c>
      <c r="Q212" s="8">
        <v>161000000</v>
      </c>
      <c r="R212" s="8">
        <v>160000000</v>
      </c>
      <c r="S212" s="8">
        <v>225000000</v>
      </c>
      <c r="T212" s="8"/>
      <c r="U212" s="8">
        <v>242000000</v>
      </c>
      <c r="V212" s="8">
        <v>131000000</v>
      </c>
    </row>
    <row r="213" spans="1:22" x14ac:dyDescent="0.2">
      <c r="A213" s="23" t="s">
        <v>1</v>
      </c>
      <c r="B213" s="11">
        <f>ROUND(316975.5,-3)</f>
        <v>317000</v>
      </c>
      <c r="C213" s="11">
        <f>ROUND(1447510,-3)</f>
        <v>1448000</v>
      </c>
      <c r="D213" s="11">
        <f>ROUND(3252451.22,-3)</f>
        <v>3252000</v>
      </c>
      <c r="E213" s="11">
        <f>ROUND(2701067.24,-3)</f>
        <v>2701000</v>
      </c>
      <c r="F213" s="11">
        <f>ROUND(3525631.64,-3)</f>
        <v>3526000</v>
      </c>
      <c r="G213" s="11">
        <f>ROUND(9374506.25,-3)</f>
        <v>9375000</v>
      </c>
      <c r="H213" s="11">
        <v>16688187.02</v>
      </c>
      <c r="I213" s="11">
        <f>ROUND(4753409.94,-3)</f>
        <v>4753000</v>
      </c>
      <c r="J213" s="8">
        <v>282820</v>
      </c>
      <c r="K213" s="8">
        <v>-263688</v>
      </c>
      <c r="L213" s="8">
        <v>576260</v>
      </c>
      <c r="M213" s="8">
        <v>2319004</v>
      </c>
      <c r="N213" s="8">
        <v>12491587</v>
      </c>
      <c r="O213" s="8">
        <v>21500287</v>
      </c>
      <c r="P213" s="8">
        <v>25872396</v>
      </c>
      <c r="Q213" s="8">
        <v>18725250</v>
      </c>
      <c r="R213" s="8">
        <v>46058339</v>
      </c>
      <c r="S213" s="8">
        <v>44612676</v>
      </c>
      <c r="T213" s="8"/>
      <c r="U213" s="8">
        <v>59650926</v>
      </c>
      <c r="V213" s="8">
        <v>48981798</v>
      </c>
    </row>
    <row r="214" spans="1:22" x14ac:dyDescent="0.2">
      <c r="A214" s="23" t="s">
        <v>2</v>
      </c>
      <c r="B214" s="11">
        <v>676000</v>
      </c>
      <c r="C214" s="11">
        <v>2392000</v>
      </c>
      <c r="D214" s="11">
        <v>1351000</v>
      </c>
      <c r="E214" s="11">
        <v>2592000</v>
      </c>
      <c r="F214" s="11">
        <v>2905000</v>
      </c>
      <c r="G214" s="11">
        <v>2785000</v>
      </c>
      <c r="H214" s="11">
        <v>4284000</v>
      </c>
      <c r="I214" s="10">
        <f>ROUND(2519439,-3)</f>
        <v>2519000</v>
      </c>
      <c r="J214" s="8">
        <v>2128798</v>
      </c>
      <c r="K214" s="8">
        <v>1379102</v>
      </c>
      <c r="L214" s="8">
        <v>6169136</v>
      </c>
      <c r="M214" s="8">
        <v>5716027</v>
      </c>
      <c r="N214" s="8">
        <v>8343182</v>
      </c>
      <c r="O214" s="8">
        <v>5957274</v>
      </c>
      <c r="P214" s="8">
        <v>9140253</v>
      </c>
      <c r="Q214" s="8">
        <v>8789044</v>
      </c>
      <c r="R214" s="8">
        <v>7263488</v>
      </c>
      <c r="S214" s="8">
        <v>3450252</v>
      </c>
      <c r="T214" s="8"/>
      <c r="U214" s="8">
        <v>6058764</v>
      </c>
      <c r="V214" s="8">
        <v>7107315</v>
      </c>
    </row>
    <row r="215" spans="1:22" x14ac:dyDescent="0.2">
      <c r="A215" s="23" t="s">
        <v>3</v>
      </c>
      <c r="B215" s="11">
        <v>3581000</v>
      </c>
      <c r="C215" s="11">
        <v>6873000</v>
      </c>
      <c r="D215" s="11">
        <f>ROUND(5346321,-3)</f>
        <v>5346000</v>
      </c>
      <c r="E215" s="11">
        <f>ROUND(11554276,-3)</f>
        <v>11554000</v>
      </c>
      <c r="F215" s="11">
        <f>ROUND(5273578,-3)</f>
        <v>5274000</v>
      </c>
      <c r="G215" s="11">
        <f>ROUND(5111902,-3)</f>
        <v>5112000</v>
      </c>
      <c r="H215" s="11">
        <f>ROUND(2009821,-3)</f>
        <v>2010000</v>
      </c>
      <c r="I215" s="11">
        <f>ROUND(13298540.78,-3)</f>
        <v>13299000</v>
      </c>
      <c r="J215" s="7">
        <v>6445145.7999999998</v>
      </c>
      <c r="K215" s="8">
        <v>-8143264</v>
      </c>
      <c r="L215" s="8">
        <v>11038614</v>
      </c>
      <c r="M215" s="8">
        <v>1872282</v>
      </c>
      <c r="N215" s="8">
        <v>-2270533</v>
      </c>
      <c r="O215" s="8">
        <v>6482170</v>
      </c>
      <c r="P215" s="8">
        <v>113706</v>
      </c>
      <c r="Q215" s="8">
        <v>-7421109</v>
      </c>
      <c r="R215" s="8">
        <v>-4720327</v>
      </c>
      <c r="S215" s="8">
        <v>9036222</v>
      </c>
      <c r="T215" s="8"/>
      <c r="U215" s="8">
        <v>49931229</v>
      </c>
      <c r="V215" s="8">
        <v>31856824</v>
      </c>
    </row>
    <row r="216" spans="1:22" x14ac:dyDescent="0.2">
      <c r="A216" s="23" t="s">
        <v>4</v>
      </c>
      <c r="B216" s="13">
        <f>ROUND(28596523,-3)</f>
        <v>28597000</v>
      </c>
      <c r="C216" s="13">
        <f>ROUND(33526322.030564,-3)</f>
        <v>33526000</v>
      </c>
      <c r="D216" s="13">
        <f>ROUND(38333374.52683,-3)</f>
        <v>38333000</v>
      </c>
      <c r="E216" s="13">
        <f>ROUND(77091289.3529159,-3)</f>
        <v>77091000</v>
      </c>
      <c r="F216" s="13">
        <f>ROUND(96416261,-3)</f>
        <v>96416000</v>
      </c>
      <c r="G216" s="13">
        <f>ROUND(80721747.36351,-3)</f>
        <v>80722000</v>
      </c>
      <c r="H216" s="13">
        <f>ROUND(74220493.038186,-3)</f>
        <v>74220000</v>
      </c>
      <c r="I216" s="11">
        <f>ROUND(53693722,-3)</f>
        <v>53694000</v>
      </c>
      <c r="J216" s="8">
        <v>63829986</v>
      </c>
      <c r="K216" s="8">
        <v>77078796</v>
      </c>
      <c r="L216" s="8">
        <v>102278898</v>
      </c>
      <c r="M216" s="8">
        <v>82205517</v>
      </c>
      <c r="N216" s="8">
        <v>80747906</v>
      </c>
      <c r="O216" s="8">
        <v>77268594</v>
      </c>
      <c r="P216" s="8">
        <v>64083378</v>
      </c>
      <c r="Q216" s="8">
        <v>52026219</v>
      </c>
      <c r="R216" s="8">
        <v>39591853</v>
      </c>
      <c r="S216" s="8">
        <v>67452134</v>
      </c>
      <c r="T216" s="8"/>
      <c r="U216" s="8">
        <v>84383018</v>
      </c>
      <c r="V216" s="8">
        <v>70283219</v>
      </c>
    </row>
    <row r="217" spans="1:22" ht="13.5" x14ac:dyDescent="0.25">
      <c r="A217" s="18" t="s">
        <v>5</v>
      </c>
      <c r="B217" s="14">
        <f t="shared" ref="B217:K217" si="12">SUM(B212:B216)</f>
        <v>82691000</v>
      </c>
      <c r="C217" s="14">
        <f t="shared" si="12"/>
        <v>115614000</v>
      </c>
      <c r="D217" s="14">
        <f t="shared" si="12"/>
        <v>123889000</v>
      </c>
      <c r="E217" s="14">
        <f t="shared" si="12"/>
        <v>162676000</v>
      </c>
      <c r="F217" s="14">
        <f t="shared" si="12"/>
        <v>199651000</v>
      </c>
      <c r="G217" s="14">
        <f t="shared" si="12"/>
        <v>194313000</v>
      </c>
      <c r="H217" s="14">
        <f t="shared" si="12"/>
        <v>196116187.01999998</v>
      </c>
      <c r="I217" s="14">
        <f t="shared" si="12"/>
        <v>132746000</v>
      </c>
      <c r="J217" s="15">
        <f t="shared" si="12"/>
        <v>146914088.80000001</v>
      </c>
      <c r="K217" s="15">
        <f t="shared" si="12"/>
        <v>237251881</v>
      </c>
      <c r="L217" s="15">
        <f>SUM(L211:L216)</f>
        <v>298526585</v>
      </c>
      <c r="M217" s="15">
        <f>SUM(M211:M216)</f>
        <v>252398090</v>
      </c>
      <c r="N217" s="15">
        <f>SUM(N211:N216)</f>
        <v>228055356</v>
      </c>
      <c r="O217" s="15">
        <f>SUM(O210:O216)</f>
        <v>277677738</v>
      </c>
      <c r="P217" s="15">
        <f>SUM(P210:P216)</f>
        <v>287533338</v>
      </c>
      <c r="Q217" s="15">
        <f>SUM(Q210:Q216)</f>
        <v>255202073</v>
      </c>
      <c r="R217" s="15">
        <f>SUM(R209:R216)</f>
        <v>263036509</v>
      </c>
      <c r="S217" s="15">
        <f>SUM(S209:S216)</f>
        <v>354293557</v>
      </c>
      <c r="T217" s="15"/>
      <c r="U217" s="16">
        <f>SUM(U209:U216)</f>
        <v>454812147</v>
      </c>
      <c r="V217" s="15">
        <f>SUM(V209:V216)</f>
        <v>302360834</v>
      </c>
    </row>
    <row r="218" spans="1:22" ht="5.0999999999999996" customHeight="1" x14ac:dyDescent="0.2"/>
    <row r="219" spans="1:22" ht="13.5" x14ac:dyDescent="0.25">
      <c r="A219" s="4" t="s">
        <v>14</v>
      </c>
    </row>
    <row r="220" spans="1:22" ht="13.5" x14ac:dyDescent="0.25">
      <c r="A220" s="4"/>
    </row>
    <row r="221" spans="1:22" ht="13.5" x14ac:dyDescent="0.25">
      <c r="A221" s="4"/>
      <c r="B221" s="5" t="s">
        <v>7</v>
      </c>
      <c r="C221" s="5" t="s">
        <v>8</v>
      </c>
      <c r="D221" s="5" t="s">
        <v>9</v>
      </c>
      <c r="E221" s="5" t="s">
        <v>10</v>
      </c>
      <c r="F221" s="5" t="s">
        <v>11</v>
      </c>
      <c r="G221" s="5" t="s">
        <v>12</v>
      </c>
      <c r="H221" s="5" t="s">
        <v>13</v>
      </c>
      <c r="I221" s="5" t="s">
        <v>16</v>
      </c>
      <c r="J221" s="5" t="s">
        <v>17</v>
      </c>
      <c r="K221" s="5" t="s">
        <v>19</v>
      </c>
      <c r="L221" s="6" t="s">
        <v>22</v>
      </c>
      <c r="M221" s="6" t="s">
        <v>24</v>
      </c>
      <c r="N221" s="6" t="s">
        <v>25</v>
      </c>
      <c r="O221" s="6" t="s">
        <v>21</v>
      </c>
      <c r="P221" s="6" t="s">
        <v>27</v>
      </c>
      <c r="Q221" s="6" t="s">
        <v>28</v>
      </c>
      <c r="R221" s="6" t="s">
        <v>30</v>
      </c>
      <c r="S221" s="6" t="s">
        <v>31</v>
      </c>
      <c r="T221" s="6"/>
      <c r="U221" s="6" t="s">
        <v>32</v>
      </c>
      <c r="V221" s="6" t="s">
        <v>39</v>
      </c>
    </row>
    <row r="222" spans="1:22" ht="13.5" x14ac:dyDescent="0.25">
      <c r="A222" s="19" t="s">
        <v>29</v>
      </c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6"/>
      <c r="M222" s="6"/>
      <c r="N222" s="6"/>
      <c r="O222" s="6"/>
      <c r="P222" s="6"/>
      <c r="Q222" s="6"/>
      <c r="R222" s="9">
        <v>4992831</v>
      </c>
      <c r="S222" s="8">
        <v>2011903</v>
      </c>
      <c r="T222" s="8"/>
      <c r="U222" s="8">
        <v>0</v>
      </c>
      <c r="V222" s="8">
        <v>0</v>
      </c>
    </row>
    <row r="223" spans="1:22" ht="13.5" x14ac:dyDescent="0.25">
      <c r="A223" s="19" t="s">
        <v>26</v>
      </c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6"/>
      <c r="M223" s="6"/>
      <c r="N223" s="6"/>
      <c r="O223" s="9">
        <v>3628388</v>
      </c>
      <c r="P223" s="8">
        <v>1323082</v>
      </c>
      <c r="Q223" s="8">
        <v>6439169</v>
      </c>
      <c r="R223" s="8">
        <v>2243425</v>
      </c>
      <c r="S223" s="8">
        <v>474371</v>
      </c>
      <c r="T223" s="8"/>
      <c r="U223" s="8">
        <v>731824</v>
      </c>
      <c r="V223" s="8">
        <v>1752743</v>
      </c>
    </row>
    <row r="224" spans="1:22" ht="13.5" x14ac:dyDescent="0.25">
      <c r="A224" s="19" t="s">
        <v>23</v>
      </c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9">
        <v>5110000</v>
      </c>
      <c r="M224" s="8">
        <v>15169501</v>
      </c>
      <c r="N224" s="8">
        <v>4638001</v>
      </c>
      <c r="O224" s="8">
        <v>6928000</v>
      </c>
      <c r="P224" s="8">
        <v>10108800</v>
      </c>
      <c r="Q224" s="8">
        <v>15643500</v>
      </c>
      <c r="R224" s="8">
        <v>7606900</v>
      </c>
      <c r="S224" s="8">
        <v>2255999</v>
      </c>
      <c r="T224" s="8"/>
      <c r="U224" s="8">
        <v>6614062</v>
      </c>
      <c r="V224" s="8">
        <v>5638000</v>
      </c>
    </row>
    <row r="225" spans="1:22" x14ac:dyDescent="0.2">
      <c r="A225" s="23" t="s">
        <v>0</v>
      </c>
      <c r="B225" s="10">
        <f>ROUND(49519731.41,-3)</f>
        <v>49520000</v>
      </c>
      <c r="C225" s="10">
        <f>ROUND(71375279.2,-3)</f>
        <v>71375000</v>
      </c>
      <c r="D225" s="10">
        <f>ROUND(75606860.95,-3)</f>
        <v>75607000</v>
      </c>
      <c r="E225" s="10">
        <f>ROUND(68738376.06,-3)</f>
        <v>68738000</v>
      </c>
      <c r="F225" s="10">
        <f>ROUND(91529887.52,-3)</f>
        <v>91530000</v>
      </c>
      <c r="G225" s="10">
        <f>ROUND(96318649.06,-3)</f>
        <v>96319000</v>
      </c>
      <c r="H225" s="10">
        <f>ROUND(98913815.49,-3)</f>
        <v>98914000</v>
      </c>
      <c r="I225" s="20">
        <f>ROUND(58481416,-3)</f>
        <v>58481000</v>
      </c>
      <c r="J225" s="8">
        <v>74227339</v>
      </c>
      <c r="K225" s="8">
        <v>167200935</v>
      </c>
      <c r="L225" s="8">
        <v>173353677</v>
      </c>
      <c r="M225" s="8">
        <v>145115759</v>
      </c>
      <c r="N225" s="8">
        <v>124105213</v>
      </c>
      <c r="O225" s="8">
        <v>155913025</v>
      </c>
      <c r="P225" s="8">
        <v>176891723</v>
      </c>
      <c r="Q225" s="8">
        <v>161000000</v>
      </c>
      <c r="R225" s="8">
        <v>160000000</v>
      </c>
      <c r="S225" s="8">
        <v>225000000</v>
      </c>
      <c r="T225" s="8"/>
      <c r="U225" s="8">
        <v>242000000</v>
      </c>
      <c r="V225" s="8">
        <v>131000000</v>
      </c>
    </row>
    <row r="226" spans="1:22" x14ac:dyDescent="0.2">
      <c r="A226" s="23" t="s">
        <v>1</v>
      </c>
      <c r="B226" s="11">
        <f>ROUND(316975.5,-3)</f>
        <v>317000</v>
      </c>
      <c r="C226" s="11">
        <f>ROUND(1447510,-3)</f>
        <v>1448000</v>
      </c>
      <c r="D226" s="11">
        <f>ROUND(3252451.22,-3)</f>
        <v>3252000</v>
      </c>
      <c r="E226" s="11">
        <f>ROUND(2701067.24,-3)</f>
        <v>2701000</v>
      </c>
      <c r="F226" s="11">
        <f>ROUND(3525631.64,-3)</f>
        <v>3526000</v>
      </c>
      <c r="G226" s="11">
        <f>ROUND(9374506.25,-3)</f>
        <v>9375000</v>
      </c>
      <c r="H226" s="11">
        <v>16688187.02</v>
      </c>
      <c r="I226" s="11">
        <f>ROUND(4753409.94,-3)</f>
        <v>4753000</v>
      </c>
      <c r="J226" s="8">
        <v>282820</v>
      </c>
      <c r="K226" s="8">
        <v>-263688</v>
      </c>
      <c r="L226" s="8">
        <v>576260</v>
      </c>
      <c r="M226" s="8">
        <v>2319004</v>
      </c>
      <c r="N226" s="8">
        <v>12491587</v>
      </c>
      <c r="O226" s="8">
        <v>21500287</v>
      </c>
      <c r="P226" s="8">
        <v>25872396</v>
      </c>
      <c r="Q226" s="8">
        <v>18725250</v>
      </c>
      <c r="R226" s="8">
        <v>46058339</v>
      </c>
      <c r="S226" s="8">
        <v>44612676</v>
      </c>
      <c r="T226" s="8"/>
      <c r="U226" s="8">
        <v>0</v>
      </c>
      <c r="V226" s="8">
        <v>0</v>
      </c>
    </row>
    <row r="227" spans="1:22" s="3" customFormat="1" ht="13.5" x14ac:dyDescent="0.25">
      <c r="A227" s="23" t="s">
        <v>2</v>
      </c>
      <c r="B227" s="11">
        <v>0</v>
      </c>
      <c r="C227" s="11">
        <v>0</v>
      </c>
      <c r="D227" s="11">
        <v>0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8">
        <v>0</v>
      </c>
      <c r="K227" s="8">
        <v>0</v>
      </c>
      <c r="L227" s="8">
        <v>0</v>
      </c>
      <c r="M227" s="8">
        <v>0</v>
      </c>
      <c r="N227" s="8">
        <v>0</v>
      </c>
      <c r="O227" s="8">
        <v>0</v>
      </c>
      <c r="P227" s="8">
        <v>0</v>
      </c>
      <c r="Q227" s="8">
        <v>0</v>
      </c>
      <c r="R227" s="8">
        <v>0</v>
      </c>
      <c r="S227" s="8">
        <v>0</v>
      </c>
      <c r="T227" s="8"/>
      <c r="U227" s="8">
        <v>0</v>
      </c>
      <c r="V227" s="8">
        <v>0</v>
      </c>
    </row>
    <row r="228" spans="1:22" x14ac:dyDescent="0.2">
      <c r="A228" s="23" t="s">
        <v>33</v>
      </c>
      <c r="B228" s="11">
        <v>3581000</v>
      </c>
      <c r="C228" s="11">
        <v>6873000</v>
      </c>
      <c r="D228" s="11">
        <f>ROUND(5346321,-3)</f>
        <v>5346000</v>
      </c>
      <c r="E228" s="11">
        <f>ROUND(11554276,-3)</f>
        <v>11554000</v>
      </c>
      <c r="F228" s="11">
        <f>ROUND(5273578,-3)</f>
        <v>5274000</v>
      </c>
      <c r="G228" s="11">
        <f>ROUND(5111902,-3)</f>
        <v>5112000</v>
      </c>
      <c r="H228" s="11">
        <f>ROUND(2009821,-3)</f>
        <v>2010000</v>
      </c>
      <c r="I228" s="11">
        <f>ROUND(13298540.78,-3)</f>
        <v>13299000</v>
      </c>
      <c r="J228" s="7">
        <v>6445145.7999999998</v>
      </c>
      <c r="K228" s="8">
        <v>-8143264</v>
      </c>
      <c r="L228" s="8">
        <v>11038614</v>
      </c>
      <c r="M228" s="8">
        <v>1872282</v>
      </c>
      <c r="N228" s="8">
        <v>-2270533</v>
      </c>
      <c r="O228" s="8">
        <v>6482170</v>
      </c>
      <c r="P228" s="8">
        <v>113706</v>
      </c>
      <c r="Q228" s="8">
        <v>-7421109</v>
      </c>
      <c r="R228" s="8">
        <v>-4720327</v>
      </c>
      <c r="S228" s="8">
        <v>9036222</v>
      </c>
      <c r="T228" s="8"/>
      <c r="U228" s="8">
        <v>49931229</v>
      </c>
      <c r="V228" s="8">
        <v>31856824</v>
      </c>
    </row>
    <row r="229" spans="1:22" x14ac:dyDescent="0.2">
      <c r="A229" s="23" t="s">
        <v>4</v>
      </c>
      <c r="B229" s="11">
        <v>0</v>
      </c>
      <c r="C229" s="11">
        <v>0</v>
      </c>
      <c r="D229" s="11">
        <v>0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8">
        <v>0</v>
      </c>
      <c r="K229" s="8">
        <v>0</v>
      </c>
      <c r="L229" s="8">
        <v>0</v>
      </c>
      <c r="M229" s="8">
        <v>0</v>
      </c>
      <c r="N229" s="8">
        <v>0</v>
      </c>
      <c r="O229" s="8">
        <v>0</v>
      </c>
      <c r="P229" s="8">
        <v>0</v>
      </c>
      <c r="Q229" s="8">
        <v>0</v>
      </c>
      <c r="R229" s="8">
        <v>0</v>
      </c>
      <c r="S229" s="8">
        <v>0</v>
      </c>
      <c r="T229" s="8"/>
      <c r="U229" s="8">
        <v>0</v>
      </c>
      <c r="V229" s="8">
        <v>0</v>
      </c>
    </row>
    <row r="230" spans="1:22" ht="13.5" x14ac:dyDescent="0.25">
      <c r="A230" s="18" t="s">
        <v>5</v>
      </c>
      <c r="B230" s="14">
        <f t="shared" ref="B230:K230" si="13">SUM(B225:B229)</f>
        <v>53418000</v>
      </c>
      <c r="C230" s="14">
        <f t="shared" si="13"/>
        <v>79696000</v>
      </c>
      <c r="D230" s="14">
        <f t="shared" si="13"/>
        <v>84205000</v>
      </c>
      <c r="E230" s="14">
        <f t="shared" si="13"/>
        <v>82993000</v>
      </c>
      <c r="F230" s="14">
        <f t="shared" si="13"/>
        <v>100330000</v>
      </c>
      <c r="G230" s="14">
        <f t="shared" si="13"/>
        <v>110806000</v>
      </c>
      <c r="H230" s="14">
        <f t="shared" si="13"/>
        <v>117612187.02</v>
      </c>
      <c r="I230" s="14">
        <f t="shared" si="13"/>
        <v>76533000</v>
      </c>
      <c r="J230" s="15">
        <f t="shared" si="13"/>
        <v>80955304.799999997</v>
      </c>
      <c r="K230" s="15">
        <f t="shared" si="13"/>
        <v>158793983</v>
      </c>
      <c r="L230" s="15">
        <f>SUM(L224:L229)</f>
        <v>190078551</v>
      </c>
      <c r="M230" s="15">
        <f>SUM(M224:M229)</f>
        <v>164476546</v>
      </c>
      <c r="N230" s="15">
        <f>SUM(N224:N229)</f>
        <v>138964268</v>
      </c>
      <c r="O230" s="15">
        <f>SUM(O223:O229)</f>
        <v>194451870</v>
      </c>
      <c r="P230" s="15">
        <f>SUM(P223:P229)</f>
        <v>214309707</v>
      </c>
      <c r="Q230" s="15">
        <f>SUM(Q223:Q229)</f>
        <v>194386810</v>
      </c>
      <c r="R230" s="15">
        <f>SUM(R222:R229)</f>
        <v>216181168</v>
      </c>
      <c r="S230" s="15">
        <f>SUM(S222:S229)</f>
        <v>283391171</v>
      </c>
      <c r="T230" s="15"/>
      <c r="U230" s="15">
        <f>SUM(U222:U229)</f>
        <v>299277115</v>
      </c>
      <c r="V230" s="15">
        <f>SUM(V222:V229)</f>
        <v>170247567</v>
      </c>
    </row>
    <row r="231" spans="1:22" ht="5.0999999999999996" customHeight="1" x14ac:dyDescent="0.2"/>
    <row r="232" spans="1:22" ht="13.5" x14ac:dyDescent="0.25">
      <c r="A232" s="4" t="s">
        <v>35</v>
      </c>
    </row>
    <row r="233" spans="1:22" ht="13.5" x14ac:dyDescent="0.25">
      <c r="A233" s="4"/>
    </row>
    <row r="234" spans="1:22" ht="13.5" x14ac:dyDescent="0.25">
      <c r="A234" s="4"/>
      <c r="U234" s="6" t="s">
        <v>32</v>
      </c>
      <c r="V234" s="6" t="s">
        <v>39</v>
      </c>
    </row>
    <row r="235" spans="1:22" x14ac:dyDescent="0.2">
      <c r="A235" s="19" t="s">
        <v>29</v>
      </c>
      <c r="U235" s="8">
        <v>5442324</v>
      </c>
      <c r="V235" s="8">
        <v>5740935</v>
      </c>
    </row>
    <row r="236" spans="1:22" x14ac:dyDescent="0.2">
      <c r="A236" s="19" t="s">
        <v>26</v>
      </c>
      <c r="U236" s="8">
        <v>1198595</v>
      </c>
      <c r="V236" s="8">
        <v>16190</v>
      </c>
    </row>
    <row r="237" spans="1:22" x14ac:dyDescent="0.2">
      <c r="A237" s="19" t="s">
        <v>23</v>
      </c>
      <c r="U237" s="8">
        <v>0</v>
      </c>
      <c r="V237" s="8">
        <v>0</v>
      </c>
    </row>
    <row r="238" spans="1:22" x14ac:dyDescent="0.2">
      <c r="A238" s="19" t="s">
        <v>0</v>
      </c>
      <c r="U238" s="8">
        <v>0</v>
      </c>
      <c r="V238" s="8">
        <v>0</v>
      </c>
    </row>
    <row r="239" spans="1:22" x14ac:dyDescent="0.2">
      <c r="A239" s="19" t="s">
        <v>1</v>
      </c>
      <c r="U239" s="8">
        <v>59650926</v>
      </c>
      <c r="V239" s="8">
        <v>48981798</v>
      </c>
    </row>
    <row r="240" spans="1:22" x14ac:dyDescent="0.2">
      <c r="A240" s="19" t="s">
        <v>2</v>
      </c>
      <c r="U240" s="8">
        <v>0</v>
      </c>
      <c r="V240" s="8">
        <v>0</v>
      </c>
    </row>
    <row r="241" spans="1:22" x14ac:dyDescent="0.2">
      <c r="A241" s="19" t="s">
        <v>33</v>
      </c>
      <c r="U241" s="8">
        <v>0</v>
      </c>
      <c r="V241" s="8">
        <v>0</v>
      </c>
    </row>
    <row r="242" spans="1:22" x14ac:dyDescent="0.2">
      <c r="A242" s="19" t="s">
        <v>4</v>
      </c>
      <c r="U242" s="8">
        <v>0</v>
      </c>
      <c r="V242" s="8">
        <v>0</v>
      </c>
    </row>
    <row r="243" spans="1:22" ht="13.5" x14ac:dyDescent="0.25">
      <c r="A243" s="27" t="s">
        <v>5</v>
      </c>
      <c r="U243" s="15">
        <f>SUM(U235:U242)</f>
        <v>66291845</v>
      </c>
      <c r="V243" s="15">
        <f>SUM(V235:V242)</f>
        <v>54738923</v>
      </c>
    </row>
    <row r="244" spans="1:22" ht="5.0999999999999996" customHeight="1" x14ac:dyDescent="0.2"/>
    <row r="245" spans="1:22" ht="13.5" x14ac:dyDescent="0.25">
      <c r="A245" s="4" t="s">
        <v>15</v>
      </c>
    </row>
    <row r="246" spans="1:22" ht="13.5" x14ac:dyDescent="0.25">
      <c r="A246" s="4"/>
    </row>
    <row r="247" spans="1:22" ht="13.5" x14ac:dyDescent="0.25">
      <c r="A247" s="4"/>
      <c r="B247" s="5" t="s">
        <v>7</v>
      </c>
      <c r="C247" s="5" t="s">
        <v>8</v>
      </c>
      <c r="D247" s="5" t="s">
        <v>9</v>
      </c>
      <c r="E247" s="5" t="s">
        <v>10</v>
      </c>
      <c r="F247" s="5" t="s">
        <v>11</v>
      </c>
      <c r="G247" s="5" t="s">
        <v>12</v>
      </c>
      <c r="H247" s="5" t="s">
        <v>13</v>
      </c>
      <c r="I247" s="5" t="s">
        <v>16</v>
      </c>
      <c r="J247" s="5" t="s">
        <v>17</v>
      </c>
      <c r="K247" s="5" t="s">
        <v>19</v>
      </c>
      <c r="L247" s="6" t="s">
        <v>22</v>
      </c>
      <c r="M247" s="6" t="s">
        <v>24</v>
      </c>
      <c r="N247" s="6" t="s">
        <v>25</v>
      </c>
      <c r="O247" s="6" t="s">
        <v>21</v>
      </c>
      <c r="P247" s="6" t="s">
        <v>27</v>
      </c>
      <c r="Q247" s="6" t="s">
        <v>28</v>
      </c>
      <c r="R247" s="6" t="s">
        <v>30</v>
      </c>
      <c r="S247" s="6" t="s">
        <v>31</v>
      </c>
      <c r="T247" s="6"/>
      <c r="U247" s="6" t="s">
        <v>32</v>
      </c>
      <c r="V247" s="6" t="s">
        <v>39</v>
      </c>
    </row>
    <row r="248" spans="1:22" ht="13.5" x14ac:dyDescent="0.25">
      <c r="A248" s="19" t="s">
        <v>29</v>
      </c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6"/>
      <c r="M248" s="6"/>
      <c r="N248" s="6"/>
      <c r="O248" s="6"/>
      <c r="P248" s="6"/>
      <c r="Q248" s="6"/>
      <c r="R248" s="9">
        <v>0</v>
      </c>
      <c r="S248" s="8">
        <v>0</v>
      </c>
      <c r="T248" s="8"/>
      <c r="U248" s="8">
        <v>0</v>
      </c>
      <c r="V248" s="8">
        <v>0</v>
      </c>
    </row>
    <row r="249" spans="1:22" ht="13.5" x14ac:dyDescent="0.25">
      <c r="A249" s="19" t="s">
        <v>26</v>
      </c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6"/>
      <c r="M249" s="6"/>
      <c r="N249" s="6"/>
      <c r="O249" s="9">
        <v>0</v>
      </c>
      <c r="P249" s="8">
        <v>0</v>
      </c>
      <c r="Q249" s="8">
        <v>0</v>
      </c>
      <c r="R249" s="8">
        <v>0</v>
      </c>
      <c r="S249" s="8">
        <v>0</v>
      </c>
      <c r="T249" s="8"/>
      <c r="U249" s="8">
        <v>0</v>
      </c>
      <c r="V249" s="8">
        <v>0</v>
      </c>
    </row>
    <row r="250" spans="1:22" ht="13.5" x14ac:dyDescent="0.25">
      <c r="A250" s="19" t="s">
        <v>23</v>
      </c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9">
        <v>0</v>
      </c>
      <c r="M250" s="8">
        <v>0</v>
      </c>
      <c r="N250" s="8">
        <v>0</v>
      </c>
      <c r="O250" s="8">
        <v>0</v>
      </c>
      <c r="P250" s="8">
        <v>0</v>
      </c>
      <c r="Q250" s="8">
        <v>0</v>
      </c>
      <c r="R250" s="8">
        <v>0</v>
      </c>
      <c r="S250" s="8">
        <v>0</v>
      </c>
      <c r="T250" s="8"/>
      <c r="U250" s="8">
        <v>0</v>
      </c>
      <c r="V250" s="8">
        <v>0</v>
      </c>
    </row>
    <row r="251" spans="1:22" x14ac:dyDescent="0.2">
      <c r="A251" s="23" t="s">
        <v>0</v>
      </c>
      <c r="B251" s="24">
        <v>0</v>
      </c>
      <c r="C251" s="24">
        <v>0</v>
      </c>
      <c r="D251" s="24">
        <v>0</v>
      </c>
      <c r="E251" s="24">
        <v>0</v>
      </c>
      <c r="F251" s="24">
        <v>0</v>
      </c>
      <c r="G251" s="24">
        <v>0</v>
      </c>
      <c r="H251" s="24">
        <v>0</v>
      </c>
      <c r="I251" s="24">
        <v>0</v>
      </c>
      <c r="J251" s="8">
        <v>0</v>
      </c>
      <c r="K251" s="8">
        <v>0</v>
      </c>
      <c r="L251" s="8">
        <v>0</v>
      </c>
      <c r="M251" s="8">
        <v>0</v>
      </c>
      <c r="N251" s="8">
        <v>0</v>
      </c>
      <c r="O251" s="8">
        <v>0</v>
      </c>
      <c r="P251" s="8">
        <v>0</v>
      </c>
      <c r="Q251" s="8">
        <v>0</v>
      </c>
      <c r="R251" s="8">
        <v>0</v>
      </c>
      <c r="S251" s="8">
        <v>0</v>
      </c>
      <c r="T251" s="8"/>
      <c r="U251" s="8">
        <v>0</v>
      </c>
      <c r="V251" s="8">
        <v>0</v>
      </c>
    </row>
    <row r="252" spans="1:22" x14ac:dyDescent="0.2">
      <c r="A252" s="23" t="s">
        <v>1</v>
      </c>
      <c r="B252" s="24">
        <v>0</v>
      </c>
      <c r="C252" s="24">
        <v>0</v>
      </c>
      <c r="D252" s="24">
        <v>0</v>
      </c>
      <c r="E252" s="24">
        <v>0</v>
      </c>
      <c r="F252" s="24">
        <v>0</v>
      </c>
      <c r="G252" s="24">
        <v>0</v>
      </c>
      <c r="H252" s="24">
        <v>0</v>
      </c>
      <c r="I252" s="24">
        <v>0</v>
      </c>
      <c r="J252" s="8">
        <v>0</v>
      </c>
      <c r="K252" s="8">
        <v>0</v>
      </c>
      <c r="L252" s="8">
        <v>0</v>
      </c>
      <c r="M252" s="8">
        <v>0</v>
      </c>
      <c r="N252" s="8">
        <v>0</v>
      </c>
      <c r="O252" s="8">
        <v>0</v>
      </c>
      <c r="P252" s="8">
        <v>0</v>
      </c>
      <c r="Q252" s="8">
        <v>0</v>
      </c>
      <c r="R252" s="8">
        <v>0</v>
      </c>
      <c r="S252" s="8">
        <v>0</v>
      </c>
      <c r="T252" s="8"/>
      <c r="U252" s="8">
        <v>0</v>
      </c>
      <c r="V252" s="8">
        <v>0</v>
      </c>
    </row>
    <row r="253" spans="1:22" x14ac:dyDescent="0.2">
      <c r="A253" s="23" t="s">
        <v>2</v>
      </c>
      <c r="B253" s="24">
        <v>676000</v>
      </c>
      <c r="C253" s="24">
        <v>2392000</v>
      </c>
      <c r="D253" s="24">
        <v>1351000</v>
      </c>
      <c r="E253" s="24">
        <v>2592000</v>
      </c>
      <c r="F253" s="24">
        <v>2905000</v>
      </c>
      <c r="G253" s="24">
        <v>2785000</v>
      </c>
      <c r="H253" s="24">
        <v>4284000</v>
      </c>
      <c r="I253" s="11">
        <f>ROUND(2519439,-3)</f>
        <v>2519000</v>
      </c>
      <c r="J253" s="8">
        <v>2128798</v>
      </c>
      <c r="K253" s="8">
        <v>1379102</v>
      </c>
      <c r="L253" s="8">
        <v>6169136</v>
      </c>
      <c r="M253" s="8">
        <v>5716027</v>
      </c>
      <c r="N253" s="8">
        <v>8343182</v>
      </c>
      <c r="O253" s="8">
        <v>5957274</v>
      </c>
      <c r="P253" s="8">
        <v>9140253</v>
      </c>
      <c r="Q253" s="8">
        <v>8789044</v>
      </c>
      <c r="R253" s="8">
        <v>7263488</v>
      </c>
      <c r="S253" s="8">
        <v>3450252</v>
      </c>
      <c r="T253" s="8"/>
      <c r="U253" s="8">
        <v>6058764</v>
      </c>
      <c r="V253" s="8">
        <v>7107315</v>
      </c>
    </row>
    <row r="254" spans="1:22" x14ac:dyDescent="0.2">
      <c r="A254" s="23" t="s">
        <v>3</v>
      </c>
      <c r="B254" s="24">
        <v>0</v>
      </c>
      <c r="C254" s="24">
        <v>0</v>
      </c>
      <c r="D254" s="24">
        <v>0</v>
      </c>
      <c r="E254" s="24">
        <v>0</v>
      </c>
      <c r="F254" s="24">
        <v>0</v>
      </c>
      <c r="G254" s="24">
        <v>0</v>
      </c>
      <c r="H254" s="24">
        <v>0</v>
      </c>
      <c r="I254" s="24">
        <v>0</v>
      </c>
      <c r="J254" s="8">
        <v>0</v>
      </c>
      <c r="K254" s="8">
        <v>0</v>
      </c>
      <c r="L254" s="8">
        <v>0</v>
      </c>
      <c r="M254" s="8">
        <v>0</v>
      </c>
      <c r="N254" s="8">
        <v>0</v>
      </c>
      <c r="O254" s="8">
        <v>0</v>
      </c>
      <c r="P254" s="8">
        <v>0</v>
      </c>
      <c r="Q254" s="8">
        <v>0</v>
      </c>
      <c r="R254" s="8">
        <v>0</v>
      </c>
      <c r="S254" s="8">
        <v>0</v>
      </c>
      <c r="T254" s="8"/>
      <c r="U254" s="8">
        <v>0</v>
      </c>
      <c r="V254" s="8">
        <v>0</v>
      </c>
    </row>
    <row r="255" spans="1:22" x14ac:dyDescent="0.2">
      <c r="A255" s="23" t="s">
        <v>4</v>
      </c>
      <c r="B255" s="13">
        <f>ROUND(28596523,-3)</f>
        <v>28597000</v>
      </c>
      <c r="C255" s="13">
        <f>ROUND(33526322.030564,-3)</f>
        <v>33526000</v>
      </c>
      <c r="D255" s="13">
        <f>ROUND(38333374.52683,-3)</f>
        <v>38333000</v>
      </c>
      <c r="E255" s="13">
        <f>ROUND(77091289.3529159,-3)</f>
        <v>77091000</v>
      </c>
      <c r="F255" s="13">
        <f>ROUND(96416261,-3)</f>
        <v>96416000</v>
      </c>
      <c r="G255" s="13">
        <f>ROUND(80721747.36351,-3)</f>
        <v>80722000</v>
      </c>
      <c r="H255" s="13">
        <f>ROUND(74220493.038186,-3)</f>
        <v>74220000</v>
      </c>
      <c r="I255" s="11">
        <f>ROUND(53693722,-3)</f>
        <v>53694000</v>
      </c>
      <c r="J255" s="8">
        <v>63829986</v>
      </c>
      <c r="K255" s="8">
        <v>77078796</v>
      </c>
      <c r="L255" s="8">
        <v>102278898</v>
      </c>
      <c r="M255" s="8">
        <v>82205517</v>
      </c>
      <c r="N255" s="8">
        <v>80747906</v>
      </c>
      <c r="O255" s="8">
        <v>77268594</v>
      </c>
      <c r="P255" s="8">
        <v>64083378</v>
      </c>
      <c r="Q255" s="8">
        <v>52026219</v>
      </c>
      <c r="R255" s="8">
        <v>39591853</v>
      </c>
      <c r="S255" s="8">
        <v>67452134</v>
      </c>
      <c r="T255" s="8"/>
      <c r="U255" s="8">
        <v>84383018</v>
      </c>
      <c r="V255" s="8">
        <v>70283219</v>
      </c>
    </row>
    <row r="256" spans="1:22" ht="13.5" x14ac:dyDescent="0.25">
      <c r="A256" s="18" t="s">
        <v>5</v>
      </c>
      <c r="B256" s="25">
        <f t="shared" ref="B256:K256" si="14">SUM(B251:B255)</f>
        <v>29273000</v>
      </c>
      <c r="C256" s="25">
        <f t="shared" si="14"/>
        <v>35918000</v>
      </c>
      <c r="D256" s="25">
        <f t="shared" si="14"/>
        <v>39684000</v>
      </c>
      <c r="E256" s="25">
        <f t="shared" si="14"/>
        <v>79683000</v>
      </c>
      <c r="F256" s="25">
        <f t="shared" si="14"/>
        <v>99321000</v>
      </c>
      <c r="G256" s="25">
        <f t="shared" si="14"/>
        <v>83507000</v>
      </c>
      <c r="H256" s="25">
        <f t="shared" si="14"/>
        <v>78504000</v>
      </c>
      <c r="I256" s="25">
        <f t="shared" si="14"/>
        <v>56213000</v>
      </c>
      <c r="J256" s="15">
        <f t="shared" si="14"/>
        <v>65958784</v>
      </c>
      <c r="K256" s="15">
        <f t="shared" si="14"/>
        <v>78457898</v>
      </c>
      <c r="L256" s="15">
        <f>SUM(L250:L255)</f>
        <v>108448034</v>
      </c>
      <c r="M256" s="15">
        <f>SUM(M250:M255)</f>
        <v>87921544</v>
      </c>
      <c r="N256" s="15">
        <f>SUM(N250:N255)</f>
        <v>89091088</v>
      </c>
      <c r="O256" s="15">
        <f>SUM(O249:O255)</f>
        <v>83225868</v>
      </c>
      <c r="P256" s="15">
        <f>SUM(P249:P255)</f>
        <v>73223631</v>
      </c>
      <c r="Q256" s="15">
        <f>SUM(Q249:Q255)</f>
        <v>60815263</v>
      </c>
      <c r="R256" s="15">
        <f>SUM(R248:R255)</f>
        <v>46855341</v>
      </c>
      <c r="S256" s="15">
        <f>SUM(S253:S255)</f>
        <v>70902386</v>
      </c>
      <c r="T256" s="15"/>
      <c r="U256" s="15">
        <f>SUM(U248:U255)</f>
        <v>90441782</v>
      </c>
      <c r="V256" s="15">
        <f>SUM(V248:V255)</f>
        <v>77390534</v>
      </c>
    </row>
    <row r="257" spans="1:22" ht="5.0999999999999996" customHeight="1" x14ac:dyDescent="0.2"/>
    <row r="258" spans="1:22" ht="13.5" x14ac:dyDescent="0.25">
      <c r="A258" s="28" t="s">
        <v>57</v>
      </c>
    </row>
    <row r="259" spans="1:22" x14ac:dyDescent="0.2">
      <c r="A259" s="28"/>
    </row>
    <row r="260" spans="1:22" ht="13.5" x14ac:dyDescent="0.25">
      <c r="A260" s="3"/>
      <c r="B260" s="5" t="s">
        <v>7</v>
      </c>
      <c r="C260" s="5" t="s">
        <v>8</v>
      </c>
      <c r="D260" s="5" t="s">
        <v>9</v>
      </c>
      <c r="E260" s="5" t="s">
        <v>10</v>
      </c>
      <c r="F260" s="5" t="s">
        <v>11</v>
      </c>
      <c r="G260" s="5" t="s">
        <v>12</v>
      </c>
      <c r="H260" s="5" t="s">
        <v>13</v>
      </c>
      <c r="I260" s="5" t="s">
        <v>16</v>
      </c>
      <c r="J260" s="5" t="s">
        <v>17</v>
      </c>
      <c r="K260" s="5" t="s">
        <v>19</v>
      </c>
      <c r="L260" s="6" t="s">
        <v>22</v>
      </c>
      <c r="M260" s="6" t="s">
        <v>24</v>
      </c>
      <c r="N260" s="6" t="s">
        <v>25</v>
      </c>
      <c r="O260" s="6" t="s">
        <v>21</v>
      </c>
      <c r="P260" s="6" t="s">
        <v>27</v>
      </c>
      <c r="Q260" s="6" t="s">
        <v>28</v>
      </c>
      <c r="R260" s="6" t="s">
        <v>30</v>
      </c>
      <c r="S260" s="6" t="s">
        <v>31</v>
      </c>
      <c r="T260" s="6"/>
      <c r="U260" s="6" t="s">
        <v>32</v>
      </c>
      <c r="V260" s="6" t="s">
        <v>39</v>
      </c>
    </row>
    <row r="261" spans="1:22" ht="13.5" x14ac:dyDescent="0.25">
      <c r="A261" s="2" t="s">
        <v>29</v>
      </c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6"/>
      <c r="M261" s="6"/>
      <c r="N261" s="6"/>
      <c r="O261" s="6"/>
      <c r="P261" s="6"/>
      <c r="Q261" s="6"/>
      <c r="R261" s="29">
        <v>848</v>
      </c>
      <c r="S261" s="2">
        <v>819</v>
      </c>
      <c r="U261" s="12">
        <v>1009</v>
      </c>
      <c r="V261" s="12">
        <v>1244</v>
      </c>
    </row>
    <row r="262" spans="1:22" ht="13.5" x14ac:dyDescent="0.25">
      <c r="A262" s="2" t="s">
        <v>26</v>
      </c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6"/>
      <c r="M262" s="6"/>
      <c r="N262" s="6"/>
      <c r="O262" s="30">
        <v>1909</v>
      </c>
      <c r="P262" s="12">
        <v>1902</v>
      </c>
      <c r="Q262" s="12">
        <v>2097</v>
      </c>
      <c r="R262" s="12">
        <v>2150</v>
      </c>
      <c r="S262" s="12">
        <v>2159</v>
      </c>
      <c r="T262" s="12"/>
      <c r="U262" s="12">
        <v>2189</v>
      </c>
      <c r="V262" s="12">
        <v>2201</v>
      </c>
    </row>
    <row r="263" spans="1:22" ht="13.5" x14ac:dyDescent="0.25">
      <c r="A263" s="2" t="s">
        <v>23</v>
      </c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29">
        <v>840</v>
      </c>
      <c r="M263" s="2">
        <v>951</v>
      </c>
      <c r="N263" s="2">
        <v>980</v>
      </c>
      <c r="O263" s="12">
        <v>1060</v>
      </c>
      <c r="P263" s="12">
        <v>1184</v>
      </c>
      <c r="Q263" s="12">
        <v>1124</v>
      </c>
      <c r="R263" s="12">
        <v>1388</v>
      </c>
      <c r="S263" s="12">
        <v>1416</v>
      </c>
      <c r="T263" s="12"/>
      <c r="U263" s="12">
        <v>1483</v>
      </c>
      <c r="V263" s="12">
        <v>1560</v>
      </c>
    </row>
    <row r="264" spans="1:22" x14ac:dyDescent="0.2">
      <c r="A264" s="23" t="s">
        <v>0</v>
      </c>
      <c r="B264" s="31">
        <v>31684</v>
      </c>
      <c r="C264" s="31">
        <v>34607</v>
      </c>
      <c r="D264" s="31">
        <v>36981</v>
      </c>
      <c r="E264" s="31">
        <v>39083</v>
      </c>
      <c r="F264" s="31">
        <v>41022</v>
      </c>
      <c r="G264" s="31">
        <v>42854</v>
      </c>
      <c r="H264" s="31">
        <v>48849</v>
      </c>
      <c r="I264" s="31">
        <v>51136</v>
      </c>
      <c r="J264" s="12">
        <v>53515</v>
      </c>
      <c r="K264" s="12">
        <v>56548</v>
      </c>
      <c r="L264" s="12">
        <v>59740</v>
      </c>
      <c r="M264" s="12">
        <v>62620</v>
      </c>
      <c r="N264" s="12">
        <v>65422</v>
      </c>
      <c r="O264" s="12">
        <v>68302</v>
      </c>
      <c r="P264" s="12">
        <v>75615</v>
      </c>
      <c r="Q264" s="12">
        <v>74459</v>
      </c>
      <c r="R264" s="12">
        <v>77083</v>
      </c>
      <c r="S264" s="12">
        <v>79347</v>
      </c>
      <c r="T264" s="12"/>
      <c r="U264" s="12">
        <v>81324</v>
      </c>
      <c r="V264" s="12">
        <v>82890</v>
      </c>
    </row>
    <row r="265" spans="1:22" x14ac:dyDescent="0.2">
      <c r="A265" s="23" t="s">
        <v>1</v>
      </c>
      <c r="B265" s="32">
        <v>108</v>
      </c>
      <c r="C265" s="32">
        <v>215</v>
      </c>
      <c r="D265" s="32">
        <v>410</v>
      </c>
      <c r="E265" s="32">
        <v>552</v>
      </c>
      <c r="F265" s="32">
        <v>663</v>
      </c>
      <c r="G265" s="32">
        <v>763</v>
      </c>
      <c r="H265" s="31">
        <v>896</v>
      </c>
      <c r="I265" s="31">
        <v>1009</v>
      </c>
      <c r="J265" s="12">
        <v>1236</v>
      </c>
      <c r="K265" s="12">
        <v>1552</v>
      </c>
      <c r="L265" s="12">
        <v>1916</v>
      </c>
      <c r="M265" s="12">
        <v>2279</v>
      </c>
      <c r="N265" s="12">
        <v>2469</v>
      </c>
      <c r="O265" s="12">
        <v>2558</v>
      </c>
      <c r="P265" s="12">
        <v>2666</v>
      </c>
      <c r="Q265" s="12">
        <v>2701</v>
      </c>
      <c r="R265" s="12">
        <v>2738</v>
      </c>
      <c r="S265" s="12">
        <v>2871</v>
      </c>
      <c r="T265" s="12"/>
      <c r="U265" s="12">
        <v>2715</v>
      </c>
      <c r="V265" s="12">
        <v>2668</v>
      </c>
    </row>
    <row r="266" spans="1:22" x14ac:dyDescent="0.2">
      <c r="A266" s="23" t="s">
        <v>2</v>
      </c>
      <c r="B266" s="12">
        <v>169</v>
      </c>
      <c r="C266" s="12">
        <v>356</v>
      </c>
      <c r="D266" s="12">
        <v>594</v>
      </c>
      <c r="E266" s="12">
        <v>829</v>
      </c>
      <c r="F266" s="12">
        <v>945</v>
      </c>
      <c r="G266" s="12">
        <v>1054</v>
      </c>
      <c r="H266" s="12">
        <v>1271</v>
      </c>
      <c r="I266" s="31">
        <v>1360</v>
      </c>
      <c r="J266" s="12">
        <v>1548</v>
      </c>
      <c r="K266" s="12">
        <v>1823</v>
      </c>
      <c r="L266" s="12">
        <v>2394</v>
      </c>
      <c r="M266" s="12">
        <v>2931</v>
      </c>
      <c r="N266" s="12">
        <v>3345</v>
      </c>
      <c r="O266" s="12">
        <v>3762</v>
      </c>
      <c r="P266" s="12">
        <v>4228</v>
      </c>
      <c r="Q266" s="12">
        <v>4756</v>
      </c>
      <c r="R266" s="12">
        <v>5041</v>
      </c>
      <c r="S266" s="12">
        <v>5310</v>
      </c>
      <c r="T266" s="12"/>
      <c r="U266" s="12">
        <v>5581</v>
      </c>
      <c r="V266" s="12">
        <v>5662</v>
      </c>
    </row>
    <row r="267" spans="1:22" x14ac:dyDescent="0.2">
      <c r="A267" s="23" t="s">
        <v>3</v>
      </c>
      <c r="B267" s="12">
        <v>1357</v>
      </c>
      <c r="C267" s="12">
        <v>1412</v>
      </c>
      <c r="D267" s="12">
        <v>1499</v>
      </c>
      <c r="E267" s="12">
        <v>1565</v>
      </c>
      <c r="F267" s="12">
        <v>1618</v>
      </c>
      <c r="G267" s="12">
        <v>1774</v>
      </c>
      <c r="H267" s="12">
        <v>1865</v>
      </c>
      <c r="I267" s="12">
        <v>1944</v>
      </c>
      <c r="J267" s="12">
        <v>2021</v>
      </c>
      <c r="K267" s="12">
        <v>2087</v>
      </c>
      <c r="L267" s="12">
        <v>2135</v>
      </c>
      <c r="M267" s="12">
        <v>2154</v>
      </c>
      <c r="N267" s="12">
        <v>2182</v>
      </c>
      <c r="O267" s="12">
        <v>2217</v>
      </c>
      <c r="P267" s="12">
        <v>2320</v>
      </c>
      <c r="Q267" s="12">
        <v>2333</v>
      </c>
      <c r="R267" s="12">
        <v>2339</v>
      </c>
      <c r="S267" s="12">
        <v>2340</v>
      </c>
      <c r="T267" s="12"/>
      <c r="U267" s="12">
        <v>1659</v>
      </c>
      <c r="V267" s="12">
        <v>2078</v>
      </c>
    </row>
    <row r="268" spans="1:22" x14ac:dyDescent="0.2">
      <c r="A268" s="23" t="s">
        <v>4</v>
      </c>
      <c r="B268" s="33">
        <v>50177</v>
      </c>
      <c r="C268" s="33">
        <v>50944</v>
      </c>
      <c r="D268" s="33">
        <v>51688</v>
      </c>
      <c r="E268" s="33">
        <v>52218</v>
      </c>
      <c r="F268" s="33">
        <v>52632</v>
      </c>
      <c r="G268" s="33">
        <v>53016</v>
      </c>
      <c r="H268" s="33">
        <v>53376</v>
      </c>
      <c r="I268" s="12">
        <v>54664</v>
      </c>
      <c r="J268" s="12">
        <v>57570</v>
      </c>
      <c r="K268" s="12">
        <v>59174</v>
      </c>
      <c r="L268" s="12">
        <v>60755</v>
      </c>
      <c r="M268" s="12">
        <v>68856</v>
      </c>
      <c r="N268" s="12">
        <v>59945</v>
      </c>
      <c r="O268" s="12">
        <v>58685</v>
      </c>
      <c r="P268" s="12">
        <v>59967</v>
      </c>
      <c r="Q268" s="12">
        <v>62571</v>
      </c>
      <c r="R268" s="12">
        <v>56897</v>
      </c>
      <c r="S268" s="12">
        <v>56945</v>
      </c>
      <c r="T268" s="12"/>
      <c r="U268" s="12">
        <v>56961</v>
      </c>
      <c r="V268" s="12">
        <v>57081</v>
      </c>
    </row>
    <row r="269" spans="1:22" ht="13.5" x14ac:dyDescent="0.25">
      <c r="A269" s="18" t="s">
        <v>5</v>
      </c>
      <c r="B269" s="16">
        <v>98220</v>
      </c>
      <c r="C269" s="16">
        <v>104832</v>
      </c>
      <c r="D269" s="16">
        <v>111226</v>
      </c>
      <c r="E269" s="16">
        <v>116477</v>
      </c>
      <c r="F269" s="16">
        <v>121355</v>
      </c>
      <c r="G269" s="16">
        <v>128637</v>
      </c>
      <c r="H269" s="16">
        <v>141321</v>
      </c>
      <c r="I269" s="16">
        <f>SUM(I264:I268)</f>
        <v>110113</v>
      </c>
      <c r="J269" s="16">
        <f>SUM(J264:J268)</f>
        <v>115890</v>
      </c>
      <c r="K269" s="16">
        <f>SUM(K264:K268)</f>
        <v>121184</v>
      </c>
      <c r="L269" s="3">
        <f>SUM(L263:L268)</f>
        <v>127780</v>
      </c>
      <c r="M269" s="3">
        <f>SUM(M263:M268)</f>
        <v>139791</v>
      </c>
      <c r="N269" s="3">
        <f>SUM(N263:N268)</f>
        <v>134343</v>
      </c>
      <c r="O269" s="16">
        <f>SUM(O262:O268)</f>
        <v>138493</v>
      </c>
      <c r="P269" s="16">
        <f>SUM(P262:P268)</f>
        <v>147882</v>
      </c>
      <c r="Q269" s="16">
        <f>SUM(Q262:Q268)</f>
        <v>150041</v>
      </c>
      <c r="R269" s="3">
        <f>SUM(R261:R268)</f>
        <v>148484</v>
      </c>
      <c r="S269" s="3">
        <f>SUM(S261:S268)</f>
        <v>151207</v>
      </c>
      <c r="T269" s="3"/>
      <c r="U269" s="16">
        <f>SUM(U261:U268)</f>
        <v>152921</v>
      </c>
      <c r="V269" s="16">
        <f>SUM(V261:V268)</f>
        <v>155384</v>
      </c>
    </row>
    <row r="270" spans="1:22" ht="5.0999999999999996" customHeight="1" x14ac:dyDescent="0.2"/>
    <row r="271" spans="1:22" ht="13.5" x14ac:dyDescent="0.25">
      <c r="A271" s="4" t="s">
        <v>58</v>
      </c>
    </row>
    <row r="272" spans="1:22" ht="13.5" x14ac:dyDescent="0.25">
      <c r="A272" s="4"/>
    </row>
    <row r="273" spans="1:22" ht="13.5" x14ac:dyDescent="0.25">
      <c r="B273" s="5" t="s">
        <v>7</v>
      </c>
      <c r="C273" s="5" t="s">
        <v>8</v>
      </c>
      <c r="D273" s="5" t="s">
        <v>9</v>
      </c>
      <c r="E273" s="5" t="s">
        <v>10</v>
      </c>
      <c r="F273" s="5" t="s">
        <v>11</v>
      </c>
      <c r="G273" s="5" t="s">
        <v>12</v>
      </c>
      <c r="H273" s="5" t="s">
        <v>13</v>
      </c>
      <c r="I273" s="5" t="s">
        <v>16</v>
      </c>
      <c r="J273" s="5" t="s">
        <v>17</v>
      </c>
      <c r="K273" s="5" t="s">
        <v>19</v>
      </c>
      <c r="L273" s="6" t="s">
        <v>22</v>
      </c>
      <c r="M273" s="6" t="s">
        <v>24</v>
      </c>
      <c r="N273" s="6" t="s">
        <v>25</v>
      </c>
      <c r="O273" s="6" t="s">
        <v>21</v>
      </c>
      <c r="P273" s="6" t="s">
        <v>27</v>
      </c>
      <c r="Q273" s="6" t="s">
        <v>28</v>
      </c>
      <c r="R273" s="6" t="s">
        <v>30</v>
      </c>
      <c r="S273" s="6" t="s">
        <v>31</v>
      </c>
      <c r="T273" s="6"/>
      <c r="U273" s="6" t="s">
        <v>32</v>
      </c>
      <c r="V273" s="6" t="s">
        <v>39</v>
      </c>
    </row>
    <row r="274" spans="1:22" ht="13.5" x14ac:dyDescent="0.25">
      <c r="A274" s="2" t="s">
        <v>29</v>
      </c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6"/>
      <c r="M274" s="6"/>
      <c r="N274" s="6"/>
      <c r="O274" s="6"/>
      <c r="P274" s="6"/>
      <c r="Q274" s="6"/>
      <c r="R274" s="29">
        <v>17</v>
      </c>
      <c r="S274" s="2">
        <v>25</v>
      </c>
      <c r="U274" s="2">
        <v>38</v>
      </c>
      <c r="V274" s="2">
        <v>42</v>
      </c>
    </row>
    <row r="275" spans="1:22" ht="13.5" x14ac:dyDescent="0.25">
      <c r="A275" s="2" t="s">
        <v>26</v>
      </c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6"/>
      <c r="M275" s="6"/>
      <c r="N275" s="6"/>
      <c r="O275" s="29">
        <v>6</v>
      </c>
      <c r="P275" s="2">
        <v>7</v>
      </c>
      <c r="Q275" s="2">
        <v>10</v>
      </c>
      <c r="R275" s="2">
        <v>10</v>
      </c>
      <c r="S275" s="2">
        <v>13</v>
      </c>
      <c r="U275" s="2">
        <v>12</v>
      </c>
      <c r="V275" s="2">
        <v>12</v>
      </c>
    </row>
    <row r="276" spans="1:22" ht="13.5" x14ac:dyDescent="0.25">
      <c r="A276" s="2" t="s">
        <v>23</v>
      </c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29">
        <v>264</v>
      </c>
      <c r="M276" s="2">
        <v>429</v>
      </c>
      <c r="N276" s="2">
        <v>445</v>
      </c>
      <c r="O276" s="2">
        <v>458</v>
      </c>
      <c r="P276" s="2">
        <v>486</v>
      </c>
      <c r="Q276" s="2">
        <v>504</v>
      </c>
      <c r="R276" s="2">
        <v>510</v>
      </c>
      <c r="S276" s="2">
        <v>525</v>
      </c>
      <c r="U276" s="2">
        <v>548</v>
      </c>
      <c r="V276" s="2">
        <v>588</v>
      </c>
    </row>
    <row r="277" spans="1:22" x14ac:dyDescent="0.2">
      <c r="A277" s="23" t="s">
        <v>0</v>
      </c>
      <c r="B277" s="31">
        <v>6555</v>
      </c>
      <c r="C277" s="31">
        <v>8038</v>
      </c>
      <c r="D277" s="31">
        <v>9802</v>
      </c>
      <c r="E277" s="31">
        <v>11351</v>
      </c>
      <c r="F277" s="31">
        <v>13307</v>
      </c>
      <c r="G277" s="31">
        <v>15479</v>
      </c>
      <c r="H277" s="31">
        <v>17991</v>
      </c>
      <c r="I277" s="31">
        <v>19867</v>
      </c>
      <c r="J277" s="12">
        <v>22532</v>
      </c>
      <c r="K277" s="12">
        <v>26587</v>
      </c>
      <c r="L277" s="12">
        <v>31171</v>
      </c>
      <c r="M277" s="12">
        <v>35335</v>
      </c>
      <c r="N277" s="12">
        <v>39538</v>
      </c>
      <c r="O277" s="12">
        <v>44673</v>
      </c>
      <c r="P277" s="12">
        <v>50099</v>
      </c>
      <c r="Q277" s="12">
        <v>39093</v>
      </c>
      <c r="R277" s="12">
        <v>42204</v>
      </c>
      <c r="S277" s="12">
        <v>45692</v>
      </c>
      <c r="T277" s="12"/>
      <c r="U277" s="12">
        <v>49117</v>
      </c>
      <c r="V277" s="12">
        <v>51791</v>
      </c>
    </row>
    <row r="278" spans="1:22" x14ac:dyDescent="0.2">
      <c r="A278" s="23" t="s">
        <v>1</v>
      </c>
      <c r="B278" s="32">
        <v>2</v>
      </c>
      <c r="C278" s="32">
        <v>12</v>
      </c>
      <c r="D278" s="32">
        <v>30</v>
      </c>
      <c r="E278" s="32">
        <v>41</v>
      </c>
      <c r="F278" s="32">
        <v>59</v>
      </c>
      <c r="G278" s="32">
        <v>122</v>
      </c>
      <c r="H278" s="34">
        <v>210</v>
      </c>
      <c r="I278" s="34">
        <v>241</v>
      </c>
      <c r="J278" s="32">
        <v>243</v>
      </c>
      <c r="K278" s="32">
        <v>241</v>
      </c>
      <c r="L278" s="2">
        <v>245</v>
      </c>
      <c r="M278" s="2">
        <v>252</v>
      </c>
      <c r="N278" s="2">
        <v>304</v>
      </c>
      <c r="O278" s="2">
        <v>383</v>
      </c>
      <c r="P278" s="2">
        <v>450</v>
      </c>
      <c r="Q278" s="2">
        <v>536</v>
      </c>
      <c r="R278" s="2">
        <v>612</v>
      </c>
      <c r="S278" s="2">
        <v>716</v>
      </c>
      <c r="U278" s="2">
        <v>754</v>
      </c>
      <c r="V278" s="2">
        <v>858</v>
      </c>
    </row>
    <row r="279" spans="1:22" x14ac:dyDescent="0.2">
      <c r="A279" s="23" t="s">
        <v>2</v>
      </c>
      <c r="B279" s="12">
        <v>459</v>
      </c>
      <c r="C279" s="12">
        <v>1066</v>
      </c>
      <c r="D279" s="12">
        <v>1463</v>
      </c>
      <c r="E279" s="12">
        <v>2153</v>
      </c>
      <c r="F279" s="12">
        <v>2711</v>
      </c>
      <c r="G279" s="12">
        <v>2911</v>
      </c>
      <c r="H279" s="12">
        <v>3756</v>
      </c>
      <c r="I279" s="31">
        <v>4370</v>
      </c>
      <c r="J279" s="12">
        <v>5771</v>
      </c>
      <c r="K279" s="12">
        <v>6887</v>
      </c>
      <c r="L279" s="12">
        <v>8458</v>
      </c>
      <c r="M279" s="12">
        <v>7001</v>
      </c>
      <c r="N279" s="12">
        <v>8523</v>
      </c>
      <c r="O279" s="12">
        <v>9697</v>
      </c>
      <c r="P279" s="12">
        <v>11286</v>
      </c>
      <c r="Q279" s="12">
        <v>13005</v>
      </c>
      <c r="R279" s="12">
        <v>14308</v>
      </c>
      <c r="S279" s="12">
        <v>14539</v>
      </c>
      <c r="T279" s="12"/>
      <c r="U279" s="12">
        <v>16090</v>
      </c>
      <c r="V279" s="12">
        <v>17306</v>
      </c>
    </row>
    <row r="280" spans="1:22" s="3" customFormat="1" ht="13.5" x14ac:dyDescent="0.25">
      <c r="A280" s="23" t="s">
        <v>3</v>
      </c>
      <c r="B280" s="12">
        <v>177</v>
      </c>
      <c r="C280" s="12">
        <v>194</v>
      </c>
      <c r="D280" s="12">
        <v>215</v>
      </c>
      <c r="E280" s="12">
        <v>286</v>
      </c>
      <c r="F280" s="12">
        <v>312</v>
      </c>
      <c r="G280" s="12">
        <v>337</v>
      </c>
      <c r="H280" s="12">
        <v>359</v>
      </c>
      <c r="I280" s="12">
        <v>389</v>
      </c>
      <c r="J280" s="12">
        <v>411</v>
      </c>
      <c r="K280" s="2">
        <v>423</v>
      </c>
      <c r="L280" s="2">
        <v>423</v>
      </c>
      <c r="M280" s="2">
        <v>438</v>
      </c>
      <c r="N280" s="2">
        <v>448</v>
      </c>
      <c r="O280" s="2">
        <v>460</v>
      </c>
      <c r="P280" s="2">
        <v>466</v>
      </c>
      <c r="Q280" s="2">
        <v>472</v>
      </c>
      <c r="R280" s="2">
        <v>477</v>
      </c>
      <c r="S280" s="2">
        <v>486</v>
      </c>
      <c r="T280" s="2"/>
      <c r="U280" s="2">
        <v>198</v>
      </c>
      <c r="V280" s="2">
        <v>212</v>
      </c>
    </row>
    <row r="281" spans="1:22" x14ac:dyDescent="0.2">
      <c r="A281" s="23" t="s">
        <v>4</v>
      </c>
      <c r="B281" s="35">
        <v>65600</v>
      </c>
      <c r="C281" s="35">
        <v>70708</v>
      </c>
      <c r="D281" s="35">
        <v>74972</v>
      </c>
      <c r="E281" s="35">
        <v>85859</v>
      </c>
      <c r="F281" s="35">
        <v>101217</v>
      </c>
      <c r="G281" s="35">
        <v>113586</v>
      </c>
      <c r="H281" s="35">
        <v>120500</v>
      </c>
      <c r="I281" s="12">
        <v>130297</v>
      </c>
      <c r="J281" s="12">
        <v>142234</v>
      </c>
      <c r="K281" s="12">
        <v>154574</v>
      </c>
      <c r="L281" s="12">
        <v>171607</v>
      </c>
      <c r="M281" s="12">
        <v>185145</v>
      </c>
      <c r="N281" s="12">
        <v>194865</v>
      </c>
      <c r="O281" s="12">
        <v>204579</v>
      </c>
      <c r="P281" s="12">
        <v>210507</v>
      </c>
      <c r="Q281" s="12">
        <v>215538</v>
      </c>
      <c r="R281" s="12">
        <v>220175</v>
      </c>
      <c r="S281" s="12">
        <v>226833</v>
      </c>
      <c r="T281" s="12"/>
      <c r="U281" s="12">
        <v>238145</v>
      </c>
      <c r="V281" s="12">
        <v>250674</v>
      </c>
    </row>
    <row r="282" spans="1:22" ht="13.5" x14ac:dyDescent="0.25">
      <c r="A282" s="18" t="s">
        <v>5</v>
      </c>
      <c r="B282" s="16">
        <f t="shared" ref="B282:K282" si="15">SUM(B277:B281)</f>
        <v>72793</v>
      </c>
      <c r="C282" s="16">
        <f t="shared" si="15"/>
        <v>80018</v>
      </c>
      <c r="D282" s="16">
        <f t="shared" si="15"/>
        <v>86482</v>
      </c>
      <c r="E282" s="16">
        <f t="shared" si="15"/>
        <v>99690</v>
      </c>
      <c r="F282" s="16">
        <f t="shared" si="15"/>
        <v>117606</v>
      </c>
      <c r="G282" s="16">
        <f t="shared" si="15"/>
        <v>132435</v>
      </c>
      <c r="H282" s="16">
        <f t="shared" si="15"/>
        <v>142816</v>
      </c>
      <c r="I282" s="16">
        <f t="shared" si="15"/>
        <v>155164</v>
      </c>
      <c r="J282" s="16">
        <f t="shared" si="15"/>
        <v>171191</v>
      </c>
      <c r="K282" s="16">
        <f t="shared" si="15"/>
        <v>188712</v>
      </c>
      <c r="L282" s="3">
        <f>SUM(L276:L281)</f>
        <v>212168</v>
      </c>
      <c r="M282" s="3">
        <f>SUM(M276:M281)</f>
        <v>228600</v>
      </c>
      <c r="N282" s="3">
        <f>SUM(N276:N281)</f>
        <v>244123</v>
      </c>
      <c r="O282" s="3">
        <f>SUM(O275:O281)</f>
        <v>260256</v>
      </c>
      <c r="P282" s="3">
        <f>SUM(P275:P281)</f>
        <v>273301</v>
      </c>
      <c r="Q282" s="3">
        <f>SUM(Q275:Q281)</f>
        <v>269158</v>
      </c>
      <c r="R282" s="3">
        <f>SUM(R274:R281)</f>
        <v>278313</v>
      </c>
      <c r="S282" s="3">
        <f>SUM(S274:S281)</f>
        <v>288829</v>
      </c>
      <c r="T282" s="3"/>
      <c r="U282" s="3">
        <f>SUM(U274:U281)</f>
        <v>304902</v>
      </c>
      <c r="V282" s="3">
        <f>SUM(V274:V281)</f>
        <v>321483</v>
      </c>
    </row>
    <row r="283" spans="1:22" ht="5.0999999999999996" customHeight="1" x14ac:dyDescent="0.2"/>
    <row r="284" spans="1:22" ht="13.5" x14ac:dyDescent="0.25">
      <c r="A284" s="4" t="s">
        <v>59</v>
      </c>
    </row>
    <row r="285" spans="1:22" ht="13.5" x14ac:dyDescent="0.25">
      <c r="A285" s="4"/>
    </row>
    <row r="286" spans="1:22" ht="13.5" x14ac:dyDescent="0.25">
      <c r="B286" s="5" t="s">
        <v>7</v>
      </c>
      <c r="C286" s="5" t="s">
        <v>8</v>
      </c>
      <c r="D286" s="5" t="s">
        <v>9</v>
      </c>
      <c r="E286" s="5" t="s">
        <v>10</v>
      </c>
      <c r="F286" s="5" t="s">
        <v>11</v>
      </c>
      <c r="G286" s="5" t="s">
        <v>12</v>
      </c>
      <c r="H286" s="5" t="s">
        <v>13</v>
      </c>
      <c r="I286" s="5" t="s">
        <v>16</v>
      </c>
      <c r="J286" s="5" t="s">
        <v>17</v>
      </c>
      <c r="K286" s="5" t="s">
        <v>19</v>
      </c>
      <c r="L286" s="6" t="s">
        <v>22</v>
      </c>
      <c r="M286" s="6" t="s">
        <v>24</v>
      </c>
      <c r="N286" s="6" t="s">
        <v>25</v>
      </c>
      <c r="O286" s="6" t="s">
        <v>21</v>
      </c>
      <c r="P286" s="6" t="s">
        <v>27</v>
      </c>
      <c r="Q286" s="6" t="s">
        <v>28</v>
      </c>
      <c r="R286" s="6" t="s">
        <v>30</v>
      </c>
      <c r="S286" s="6" t="s">
        <v>31</v>
      </c>
      <c r="T286" s="6"/>
      <c r="U286" s="6" t="s">
        <v>32</v>
      </c>
      <c r="V286" s="6" t="s">
        <v>39</v>
      </c>
    </row>
    <row r="287" spans="1:22" ht="13.5" x14ac:dyDescent="0.25">
      <c r="A287" s="2" t="s">
        <v>29</v>
      </c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6"/>
      <c r="M287" s="6"/>
      <c r="N287" s="6"/>
      <c r="O287" s="6"/>
      <c r="P287" s="6"/>
      <c r="Q287" s="6"/>
      <c r="R287" s="29">
        <v>17</v>
      </c>
      <c r="S287" s="2">
        <v>25</v>
      </c>
      <c r="U287" s="2">
        <v>0</v>
      </c>
      <c r="V287" s="2">
        <v>0</v>
      </c>
    </row>
    <row r="288" spans="1:22" ht="13.5" x14ac:dyDescent="0.25">
      <c r="A288" s="2" t="s">
        <v>26</v>
      </c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6"/>
      <c r="M288" s="6"/>
      <c r="N288" s="6"/>
      <c r="O288" s="2">
        <v>6</v>
      </c>
      <c r="P288" s="2">
        <v>7</v>
      </c>
      <c r="Q288" s="2">
        <v>10</v>
      </c>
      <c r="R288" s="2">
        <v>10</v>
      </c>
      <c r="S288" s="2">
        <v>13</v>
      </c>
      <c r="U288" s="2">
        <v>7</v>
      </c>
      <c r="V288" s="2">
        <v>12</v>
      </c>
    </row>
    <row r="289" spans="1:22" ht="13.5" x14ac:dyDescent="0.25">
      <c r="A289" s="2" t="s">
        <v>23</v>
      </c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29">
        <v>264</v>
      </c>
      <c r="M289" s="2">
        <v>429</v>
      </c>
      <c r="N289" s="2">
        <v>445</v>
      </c>
      <c r="O289" s="2">
        <v>458</v>
      </c>
      <c r="P289" s="2">
        <v>486</v>
      </c>
      <c r="Q289" s="2">
        <v>504</v>
      </c>
      <c r="R289" s="2">
        <v>510</v>
      </c>
      <c r="S289" s="2">
        <v>525</v>
      </c>
      <c r="U289" s="2">
        <v>548</v>
      </c>
      <c r="V289" s="2">
        <v>588</v>
      </c>
    </row>
    <row r="290" spans="1:22" x14ac:dyDescent="0.2">
      <c r="A290" s="23" t="s">
        <v>0</v>
      </c>
      <c r="B290" s="31">
        <v>6555</v>
      </c>
      <c r="C290" s="31">
        <v>8038</v>
      </c>
      <c r="D290" s="31">
        <v>9802</v>
      </c>
      <c r="E290" s="31">
        <v>11351</v>
      </c>
      <c r="F290" s="31">
        <v>13307</v>
      </c>
      <c r="G290" s="31">
        <v>15479</v>
      </c>
      <c r="H290" s="31">
        <v>17991</v>
      </c>
      <c r="I290" s="31">
        <v>19867</v>
      </c>
      <c r="J290" s="12">
        <v>22532</v>
      </c>
      <c r="K290" s="12">
        <v>26587</v>
      </c>
      <c r="L290" s="12">
        <v>31171</v>
      </c>
      <c r="M290" s="12">
        <v>35335</v>
      </c>
      <c r="N290" s="12">
        <v>39538</v>
      </c>
      <c r="O290" s="12">
        <v>44673</v>
      </c>
      <c r="P290" s="12">
        <v>50099</v>
      </c>
      <c r="Q290" s="12">
        <v>39093</v>
      </c>
      <c r="R290" s="12">
        <v>42204</v>
      </c>
      <c r="S290" s="12">
        <v>45692</v>
      </c>
      <c r="T290" s="12"/>
      <c r="U290" s="12">
        <v>49117</v>
      </c>
      <c r="V290" s="12">
        <v>51791</v>
      </c>
    </row>
    <row r="291" spans="1:22" x14ac:dyDescent="0.2">
      <c r="A291" s="23" t="s">
        <v>1</v>
      </c>
      <c r="B291" s="32">
        <v>2</v>
      </c>
      <c r="C291" s="32">
        <v>12</v>
      </c>
      <c r="D291" s="32">
        <v>30</v>
      </c>
      <c r="E291" s="32">
        <v>41</v>
      </c>
      <c r="F291" s="32">
        <v>59</v>
      </c>
      <c r="G291" s="32">
        <v>122</v>
      </c>
      <c r="H291" s="34">
        <v>210</v>
      </c>
      <c r="I291" s="34">
        <v>241</v>
      </c>
      <c r="J291" s="32">
        <v>243</v>
      </c>
      <c r="K291" s="2">
        <v>241</v>
      </c>
      <c r="L291" s="2">
        <v>245</v>
      </c>
      <c r="M291" s="2">
        <v>252</v>
      </c>
      <c r="N291" s="2">
        <v>304</v>
      </c>
      <c r="O291" s="2">
        <v>383</v>
      </c>
      <c r="P291" s="2">
        <v>450</v>
      </c>
      <c r="Q291" s="2">
        <v>536</v>
      </c>
      <c r="R291" s="2">
        <v>612</v>
      </c>
      <c r="S291" s="2">
        <v>716</v>
      </c>
      <c r="U291" s="2">
        <v>0</v>
      </c>
      <c r="V291" s="2">
        <v>0</v>
      </c>
    </row>
    <row r="292" spans="1:22" x14ac:dyDescent="0.2">
      <c r="A292" s="23" t="s">
        <v>2</v>
      </c>
      <c r="B292" s="12">
        <v>0</v>
      </c>
      <c r="C292" s="12">
        <v>0</v>
      </c>
      <c r="D292" s="12">
        <v>0</v>
      </c>
      <c r="E292" s="12">
        <v>0</v>
      </c>
      <c r="F292" s="12">
        <v>0</v>
      </c>
      <c r="G292" s="12">
        <v>0</v>
      </c>
      <c r="H292" s="12">
        <v>0</v>
      </c>
      <c r="I292" s="12">
        <v>0</v>
      </c>
      <c r="J292" s="12">
        <v>0</v>
      </c>
      <c r="K292" s="2">
        <v>0</v>
      </c>
      <c r="L292" s="2">
        <v>0</v>
      </c>
      <c r="M292" s="2">
        <v>0</v>
      </c>
      <c r="N292" s="2">
        <v>0</v>
      </c>
      <c r="O292" s="2">
        <v>0</v>
      </c>
      <c r="P292" s="2">
        <v>0</v>
      </c>
      <c r="Q292" s="2">
        <v>0</v>
      </c>
      <c r="R292" s="2">
        <v>0</v>
      </c>
      <c r="S292" s="2">
        <v>0</v>
      </c>
      <c r="U292" s="2">
        <v>0</v>
      </c>
      <c r="V292" s="2">
        <v>0</v>
      </c>
    </row>
    <row r="293" spans="1:22" s="3" customFormat="1" ht="13.5" x14ac:dyDescent="0.25">
      <c r="A293" s="23" t="s">
        <v>3</v>
      </c>
      <c r="B293" s="12">
        <v>177</v>
      </c>
      <c r="C293" s="12">
        <v>194</v>
      </c>
      <c r="D293" s="12">
        <v>215</v>
      </c>
      <c r="E293" s="12">
        <v>286</v>
      </c>
      <c r="F293" s="12">
        <v>312</v>
      </c>
      <c r="G293" s="12">
        <v>337</v>
      </c>
      <c r="H293" s="12">
        <v>359</v>
      </c>
      <c r="I293" s="12">
        <v>389</v>
      </c>
      <c r="J293" s="12">
        <v>411</v>
      </c>
      <c r="K293" s="2">
        <v>423</v>
      </c>
      <c r="L293" s="2">
        <v>423</v>
      </c>
      <c r="M293" s="2">
        <v>438</v>
      </c>
      <c r="N293" s="2">
        <v>448</v>
      </c>
      <c r="O293" s="12">
        <v>460</v>
      </c>
      <c r="P293" s="12">
        <v>466</v>
      </c>
      <c r="Q293" s="2">
        <v>472</v>
      </c>
      <c r="R293" s="12">
        <v>477</v>
      </c>
      <c r="S293" s="2">
        <v>486</v>
      </c>
      <c r="T293" s="2"/>
      <c r="U293" s="2">
        <v>176</v>
      </c>
      <c r="V293" s="2">
        <v>181</v>
      </c>
    </row>
    <row r="294" spans="1:22" x14ac:dyDescent="0.2">
      <c r="A294" s="23" t="s">
        <v>4</v>
      </c>
      <c r="B294" s="12">
        <v>0</v>
      </c>
      <c r="C294" s="12">
        <v>0</v>
      </c>
      <c r="D294" s="12">
        <v>0</v>
      </c>
      <c r="E294" s="12">
        <v>0</v>
      </c>
      <c r="F294" s="12">
        <v>0</v>
      </c>
      <c r="G294" s="12">
        <v>0</v>
      </c>
      <c r="H294" s="12">
        <v>0</v>
      </c>
      <c r="I294" s="12">
        <v>0</v>
      </c>
      <c r="J294" s="12">
        <v>0</v>
      </c>
      <c r="K294" s="2">
        <v>0</v>
      </c>
      <c r="L294" s="2">
        <v>0</v>
      </c>
      <c r="M294" s="2">
        <v>0</v>
      </c>
      <c r="N294" s="2">
        <v>0</v>
      </c>
      <c r="O294" s="2">
        <v>0</v>
      </c>
      <c r="P294" s="2">
        <v>0</v>
      </c>
      <c r="Q294" s="2">
        <v>0</v>
      </c>
      <c r="R294" s="2">
        <v>0</v>
      </c>
      <c r="S294" s="2">
        <v>0</v>
      </c>
      <c r="U294" s="2">
        <v>0</v>
      </c>
      <c r="V294" s="2">
        <v>0</v>
      </c>
    </row>
    <row r="295" spans="1:22" ht="13.5" x14ac:dyDescent="0.25">
      <c r="A295" s="18" t="s">
        <v>5</v>
      </c>
      <c r="B295" s="16">
        <f t="shared" ref="B295:K295" si="16">SUM(B290:B294)</f>
        <v>6734</v>
      </c>
      <c r="C295" s="16">
        <f t="shared" si="16"/>
        <v>8244</v>
      </c>
      <c r="D295" s="16">
        <f t="shared" si="16"/>
        <v>10047</v>
      </c>
      <c r="E295" s="16">
        <f t="shared" si="16"/>
        <v>11678</v>
      </c>
      <c r="F295" s="16">
        <f t="shared" si="16"/>
        <v>13678</v>
      </c>
      <c r="G295" s="16">
        <f t="shared" si="16"/>
        <v>15938</v>
      </c>
      <c r="H295" s="16">
        <f t="shared" si="16"/>
        <v>18560</v>
      </c>
      <c r="I295" s="16">
        <f t="shared" si="16"/>
        <v>20497</v>
      </c>
      <c r="J295" s="16">
        <f t="shared" si="16"/>
        <v>23186</v>
      </c>
      <c r="K295" s="16">
        <f t="shared" si="16"/>
        <v>27251</v>
      </c>
      <c r="L295" s="3">
        <f>SUM(L289:L294)</f>
        <v>32103</v>
      </c>
      <c r="M295" s="3">
        <f>SUM(M289:M294)</f>
        <v>36454</v>
      </c>
      <c r="N295" s="3">
        <f>SUM(N289:N294)</f>
        <v>40735</v>
      </c>
      <c r="O295" s="3">
        <f>SUM(O288:O294)</f>
        <v>45980</v>
      </c>
      <c r="P295" s="3">
        <f>SUM(P288:P294)</f>
        <v>51508</v>
      </c>
      <c r="Q295" s="3">
        <f>SUM(Q288:Q294)</f>
        <v>40615</v>
      </c>
      <c r="R295" s="3">
        <f>SUM(R287:R294)</f>
        <v>43830</v>
      </c>
      <c r="S295" s="3">
        <f>SUM(S287:S294)</f>
        <v>47457</v>
      </c>
      <c r="T295" s="3"/>
      <c r="U295" s="3">
        <f>SUM(U287:U294)</f>
        <v>49848</v>
      </c>
      <c r="V295" s="3">
        <f>SUM(V287:V294)</f>
        <v>52572</v>
      </c>
    </row>
    <row r="296" spans="1:22" ht="5.0999999999999996" customHeight="1" x14ac:dyDescent="0.2"/>
    <row r="297" spans="1:22" ht="13.5" x14ac:dyDescent="0.25">
      <c r="A297" s="4" t="s">
        <v>36</v>
      </c>
    </row>
    <row r="298" spans="1:22" ht="13.5" x14ac:dyDescent="0.25">
      <c r="A298" s="4"/>
    </row>
    <row r="299" spans="1:22" ht="13.5" x14ac:dyDescent="0.25">
      <c r="A299" s="4"/>
      <c r="U299" s="6" t="s">
        <v>32</v>
      </c>
      <c r="V299" s="6" t="s">
        <v>39</v>
      </c>
    </row>
    <row r="300" spans="1:22" x14ac:dyDescent="0.2">
      <c r="A300" s="2" t="s">
        <v>29</v>
      </c>
      <c r="U300" s="2">
        <v>38</v>
      </c>
      <c r="V300" s="2">
        <v>42</v>
      </c>
    </row>
    <row r="301" spans="1:22" x14ac:dyDescent="0.2">
      <c r="A301" s="2" t="s">
        <v>26</v>
      </c>
      <c r="U301" s="2">
        <v>5</v>
      </c>
      <c r="V301" s="2">
        <v>5</v>
      </c>
    </row>
    <row r="302" spans="1:22" x14ac:dyDescent="0.2">
      <c r="A302" s="2" t="s">
        <v>23</v>
      </c>
      <c r="U302" s="2">
        <v>0</v>
      </c>
      <c r="V302" s="2">
        <v>0</v>
      </c>
    </row>
    <row r="303" spans="1:22" x14ac:dyDescent="0.2">
      <c r="A303" s="2" t="s">
        <v>0</v>
      </c>
      <c r="U303" s="2">
        <v>0</v>
      </c>
      <c r="V303" s="2">
        <v>0</v>
      </c>
    </row>
    <row r="304" spans="1:22" x14ac:dyDescent="0.2">
      <c r="A304" s="2" t="s">
        <v>1</v>
      </c>
      <c r="U304" s="2">
        <v>754</v>
      </c>
      <c r="V304" s="2">
        <v>858</v>
      </c>
    </row>
    <row r="305" spans="1:22" x14ac:dyDescent="0.2">
      <c r="A305" s="2" t="s">
        <v>37</v>
      </c>
      <c r="U305" s="2">
        <v>0</v>
      </c>
      <c r="V305" s="2">
        <v>0</v>
      </c>
    </row>
    <row r="306" spans="1:22" x14ac:dyDescent="0.2">
      <c r="A306" s="2" t="s">
        <v>33</v>
      </c>
      <c r="U306" s="2">
        <v>22</v>
      </c>
      <c r="V306" s="2">
        <v>31</v>
      </c>
    </row>
    <row r="307" spans="1:22" x14ac:dyDescent="0.2">
      <c r="A307" s="2" t="s">
        <v>4</v>
      </c>
      <c r="U307" s="2">
        <v>0</v>
      </c>
      <c r="V307" s="2">
        <v>0</v>
      </c>
    </row>
    <row r="308" spans="1:22" ht="13.5" x14ac:dyDescent="0.25">
      <c r="A308" s="3" t="s">
        <v>5</v>
      </c>
      <c r="U308" s="3">
        <f>SUM(U300:U307)</f>
        <v>819</v>
      </c>
      <c r="V308" s="3">
        <f>SUM(V300:V307)</f>
        <v>936</v>
      </c>
    </row>
    <row r="309" spans="1:22" s="3" customFormat="1" ht="5.0999999999999996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</row>
    <row r="310" spans="1:22" ht="13.5" x14ac:dyDescent="0.25">
      <c r="A310" s="4" t="s">
        <v>38</v>
      </c>
    </row>
    <row r="311" spans="1:22" ht="13.5" x14ac:dyDescent="0.25">
      <c r="U311" s="6" t="s">
        <v>32</v>
      </c>
      <c r="V311" s="6" t="s">
        <v>39</v>
      </c>
    </row>
    <row r="312" spans="1:22" x14ac:dyDescent="0.2">
      <c r="A312" s="2" t="s">
        <v>29</v>
      </c>
      <c r="U312" s="2">
        <v>0</v>
      </c>
      <c r="V312" s="2">
        <v>0</v>
      </c>
    </row>
    <row r="313" spans="1:22" x14ac:dyDescent="0.2">
      <c r="A313" s="2" t="s">
        <v>26</v>
      </c>
      <c r="U313" s="2">
        <v>0</v>
      </c>
      <c r="V313" s="2">
        <v>0</v>
      </c>
    </row>
    <row r="314" spans="1:22" x14ac:dyDescent="0.2">
      <c r="A314" s="2" t="s">
        <v>23</v>
      </c>
      <c r="U314" s="2">
        <v>0</v>
      </c>
      <c r="V314" s="2">
        <v>0</v>
      </c>
    </row>
    <row r="315" spans="1:22" x14ac:dyDescent="0.2">
      <c r="A315" s="2" t="s">
        <v>0</v>
      </c>
      <c r="U315" s="2">
        <v>0</v>
      </c>
      <c r="V315" s="2">
        <v>0</v>
      </c>
    </row>
    <row r="316" spans="1:22" x14ac:dyDescent="0.2">
      <c r="A316" s="2" t="s">
        <v>1</v>
      </c>
      <c r="U316" s="2">
        <v>0</v>
      </c>
      <c r="V316" s="2">
        <v>0</v>
      </c>
    </row>
    <row r="317" spans="1:22" x14ac:dyDescent="0.2">
      <c r="A317" s="2" t="s">
        <v>2</v>
      </c>
      <c r="U317" s="12">
        <v>16090</v>
      </c>
      <c r="V317" s="12">
        <v>17306</v>
      </c>
    </row>
    <row r="318" spans="1:22" x14ac:dyDescent="0.2">
      <c r="A318" s="2" t="s">
        <v>33</v>
      </c>
      <c r="U318" s="2">
        <v>0</v>
      </c>
      <c r="V318" s="2">
        <v>0</v>
      </c>
    </row>
    <row r="319" spans="1:22" x14ac:dyDescent="0.2">
      <c r="A319" s="2" t="s">
        <v>4</v>
      </c>
      <c r="U319" s="12">
        <v>238145</v>
      </c>
      <c r="V319" s="12">
        <v>250674</v>
      </c>
    </row>
    <row r="320" spans="1:22" ht="13.5" x14ac:dyDescent="0.25">
      <c r="A320" s="3" t="s">
        <v>5</v>
      </c>
      <c r="U320" s="3">
        <f>SUM(U312:U319)</f>
        <v>254235</v>
      </c>
      <c r="V320" s="3">
        <f>SUM(V312:V319)</f>
        <v>267980</v>
      </c>
    </row>
  </sheetData>
  <phoneticPr fontId="6" type="noConversion"/>
  <pageMargins left="0.75" right="0.75" top="1" bottom="1" header="0.5" footer="0.5"/>
  <pageSetup paperSize="9" scale="98" fitToHeight="0" orientation="landscape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platforms</vt:lpstr>
      <vt:lpstr>platforms!Print_Area</vt:lpstr>
    </vt:vector>
  </TitlesOfParts>
  <Company>BrightIdeas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Ridler</dc:creator>
  <cp:lastModifiedBy>N R Pettigrew</cp:lastModifiedBy>
  <cp:lastPrinted>2017-04-21T12:50:03Z</cp:lastPrinted>
  <dcterms:created xsi:type="dcterms:W3CDTF">2016-04-09T19:13:01Z</dcterms:created>
  <dcterms:modified xsi:type="dcterms:W3CDTF">2019-09-18T08:11:26Z</dcterms:modified>
</cp:coreProperties>
</file>